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NOK/"/>
    </mc:Choice>
  </mc:AlternateContent>
  <xr:revisionPtr revIDLastSave="0" documentId="8_{A6BAC3B1-E32C-C344-95BA-84543B59988C}" xr6:coauthVersionLast="47" xr6:coauthVersionMax="47" xr10:uidLastSave="{00000000-0000-0000-0000-000000000000}"/>
  <workbookProtection workbookAlgorithmName="SHA-512" workbookHashValue="UE7FcHtd9lN0xoHt728/rdp1Ptg1Cg8oBcNr04pqX8aAifgNvbs8oUcI0+K1Gf9HoNSrU3Ki0EEs/kmdlFEWRg==" workbookSaltValue="/YVHdyhXne9uONbodvpURQ==" workbookSpinCount="100000" lockStructure="1"/>
  <bookViews>
    <workbookView xWindow="2560" yWindow="500" windowWidth="28800" windowHeight="18000" tabRatio="530" activeTab="3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2022'!$A$1:$N$315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2022'!$A$1:$N$314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1" i="12" l="1"/>
  <c r="K162" i="12"/>
  <c r="K165" i="12"/>
  <c r="K166" i="12"/>
  <c r="K161" i="11"/>
  <c r="K162" i="11"/>
  <c r="K163" i="11"/>
  <c r="K164" i="11"/>
  <c r="K165" i="11"/>
  <c r="K166" i="11"/>
  <c r="K160" i="3"/>
  <c r="K161" i="3"/>
  <c r="K162" i="3"/>
  <c r="K163" i="3"/>
  <c r="K164" i="3"/>
  <c r="K165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4" i="11"/>
  <c r="K179" i="11"/>
  <c r="K178" i="11"/>
  <c r="K177" i="11"/>
  <c r="K175" i="11"/>
  <c r="K150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1" i="11" a="1"/>
  <c r="C231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14" i="8"/>
  <c r="D108" i="8"/>
  <c r="F67" i="4"/>
  <c r="K176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C231" i="3" l="1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95" i="11" s="1"/>
  <c r="J232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4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1" l="1"/>
  <c r="L174" i="8"/>
  <c r="K174" i="11"/>
  <c r="G132" i="11"/>
  <c r="L173" i="8"/>
  <c r="G131" i="11"/>
  <c r="K173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1" i="11"/>
  <c r="L202" i="8"/>
  <c r="K205" i="11"/>
  <c r="L201" i="8"/>
  <c r="K204" i="11"/>
  <c r="L197" i="8"/>
  <c r="K200" i="11"/>
  <c r="L200" i="8"/>
  <c r="K203" i="11"/>
  <c r="L199" i="8"/>
  <c r="K202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8" i="11"/>
  <c r="F71" i="12"/>
  <c r="K71" i="12"/>
  <c r="F131" i="8"/>
  <c r="G117" i="11"/>
  <c r="K71" i="11"/>
  <c r="L168" i="8"/>
  <c r="L156" i="8"/>
  <c r="K151" i="11"/>
  <c r="F130" i="8"/>
  <c r="G116" i="11"/>
  <c r="K116" i="11" s="1"/>
  <c r="K119" i="11" s="1"/>
  <c r="J233" i="11" s="1"/>
  <c r="L152" i="8"/>
  <c r="K147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E53" i="4"/>
  <c r="F53" i="4"/>
  <c r="K70" i="11" l="1"/>
  <c r="K73" i="11" s="1"/>
  <c r="F72" i="11"/>
  <c r="F89" i="8"/>
  <c r="G79" i="11"/>
  <c r="G81" i="11"/>
  <c r="K160" i="11"/>
  <c r="K159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1" i="11" s="1"/>
  <c r="J235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<sst xmlns="http://schemas.openxmlformats.org/spreadsheetml/2006/main" count="2178" uniqueCount="672">
  <si>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</si>
  <si>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</si>
  <si>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</si>
  <si>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</si>
  <si>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</si>
  <si>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</si>
  <si>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</si>
  <si>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</si>
  <si>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</si>
  <si>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</si>
  <si>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</si>
  <si>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</si>
  <si>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</si>
  <si>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</si>
  <si>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</si>
  <si>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</si>
  <si>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</si>
  <si>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</si>
  <si>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</si>
  <si>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</si>
  <si>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</si>
  <si>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</si>
  <si>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</si>
  <si>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</si>
  <si>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</si>
  <si>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</si>
  <si>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</si>
  <si>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</si>
  <si>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</si>
  <si>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</si>
  <si>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</si>
  <si>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</si>
  <si>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</si>
  <si>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</si>
  <si>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</si>
  <si>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</si>
  <si>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</si>
  <si>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</si>
  <si>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</si>
  <si>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</si>
  <si>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</si>
  <si>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</si>
  <si>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</si>
  <si>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</si>
  <si>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</si>
  <si>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</si>
  <si>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</si>
  <si>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</si>
  <si>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</si>
  <si>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</si>
  <si>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</si>
  <si>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</si>
  <si>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</si>
  <si>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</si>
  <si>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</si>
  <si>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</si>
  <si>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</si>
  <si>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</si>
  <si>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</si>
  <si>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</si>
  <si>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</si>
  <si>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</si>
  <si>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</si>
  <si>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</si>
  <si>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</si>
  <si>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</si>
  <si>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</si>
  <si>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</si>
  <si>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</si>
  <si>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</si>
  <si>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</si>
  <si>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</si>
  <si>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</si>
  <si>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</si>
  <si>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</si>
  <si>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</si>
  <si>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</si>
  <si>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</si>
  <si>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</si>
  <si>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</si>
  <si>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</si>
  <si>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</si>
  <si>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</si>
  <si>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</si>
  <si>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</si>
  <si>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</si>
  <si>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</si>
  <si>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</si>
  <si>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</si>
  <si>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</si>
  <si>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</si>
  <si>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</si>
  <si>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</si>
  <si>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</si>
  <si>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</si>
  <si>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</si>
  <si>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</si>
  <si>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</si>
  <si>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</si>
  <si>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</si>
  <si>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</si>
  <si>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</si>
  <si>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</si>
  <si>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</si>
  <si>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</si>
  <si>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</si>
  <si>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</si>
  <si>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</si>
  <si>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</si>
  <si>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</si>
  <si>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</si>
  <si>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</si>
  <si>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</si>
  <si>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</si>
  <si>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</si>
  <si>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</si>
  <si>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</si>
  <si>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</si>
  <si>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</si>
  <si>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</si>
  <si>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</si>
  <si>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</si>
  <si>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</si>
  <si>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</si>
  <si>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</si>
  <si>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</si>
  <si>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</si>
  <si>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</si>
  <si>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</si>
  <si>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</si>
  <si>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</si>
  <si>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</si>
  <si>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</si>
  <si>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</si>
  <si>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</si>
  <si>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</si>
  <si>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</si>
  <si>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</si>
  <si>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</si>
  <si>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</si>
  <si>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</si>
  <si>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</si>
  <si>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</si>
  <si>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</si>
  <si>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</si>
  <si>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</si>
  <si>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</si>
  <si>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</si>
  <si>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</si>
  <si>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</si>
  <si>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</si>
  <si>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</si>
  <si>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</si>
  <si>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</si>
  <si>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</si>
  <si>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</si>
  <si>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</si>
  <si>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</si>
  <si>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</si>
  <si>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</si>
  <si>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</si>
  <si>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</si>
  <si>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</si>
  <si>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</si>
  <si>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</si>
  <si>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</si>
  <si>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</si>
  <si>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</si>
  <si>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</si>
  <si>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</si>
  <si>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</si>
  <si>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</si>
  <si>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</si>
  <si>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</si>
  <si>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</si>
  <si>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</si>
  <si>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</si>
  <si>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</si>
  <si>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</si>
  <si>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</si>
  <si>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</si>
  <si>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</si>
  <si>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</si>
  <si>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</si>
  <si>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</si>
  <si>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</si>
  <si>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</si>
  <si>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</si>
  <si>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</si>
  <si>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</si>
  <si>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</si>
  <si>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</si>
  <si>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</si>
  <si>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</si>
  <si>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</si>
  <si>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</si>
  <si>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</si>
  <si>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</si>
  <si>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</si>
  <si>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</si>
  <si>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</si>
  <si>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</si>
  <si>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</si>
  <si>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</si>
  <si>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</si>
  <si>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</si>
  <si>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</si>
  <si>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</si>
  <si>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</si>
  <si>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</si>
  <si>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</si>
  <si>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</si>
  <si>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</si>
  <si>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</si>
  <si>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</si>
  <si>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</si>
  <si>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</si>
  <si>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</si>
  <si>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</si>
  <si>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</si>
  <si>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</si>
  <si>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</si>
  <si>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</si>
  <si>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</si>
  <si>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</si>
  <si>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</si>
  <si>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</si>
  <si>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</si>
  <si>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</si>
  <si>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</si>
  <si>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</si>
  <si>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</si>
  <si>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</si>
  <si>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</si>
  <si>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</si>
  <si>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</si>
  <si>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</si>
  <si>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</si>
  <si>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</si>
  <si>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</si>
  <si>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</si>
  <si>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</si>
  <si>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</si>
  <si>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</si>
  <si>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</si>
  <si>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</si>
  <si>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</si>
  <si>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</si>
  <si>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</si>
  <si>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</si>
  <si>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</si>
  <si>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</si>
  <si>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</si>
  <si>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</si>
  <si>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</si>
  <si>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</si>
  <si>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</si>
  <si>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</si>
  <si>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</si>
  <si>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</si>
  <si>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</si>
  <si>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</si>
  <si>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</si>
  <si>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</si>
  <si>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</si>
  <si>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</si>
  <si>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</si>
  <si>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</si>
  <si>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</si>
  <si>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</si>
  <si>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</si>
  <si>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</si>
  <si>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</si>
  <si>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</si>
  <si>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</si>
  <si>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</si>
  <si>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</si>
  <si>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</si>
  <si>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</si>
  <si>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</si>
  <si>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</si>
  <si>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</si>
  <si>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</si>
  <si>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</si>
  <si>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</si>
  <si>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</si>
  <si>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</si>
  <si>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</si>
  <si>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</si>
  <si>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</si>
  <si>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</si>
  <si>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</si>
  <si>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</si>
  <si>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</si>
  <si>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</si>
  <si>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</si>
  <si>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</si>
  <si>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</si>
  <si>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</si>
  <si>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</si>
  <si>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</si>
  <si>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</si>
  <si>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</si>
  <si>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</si>
  <si>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</si>
  <si>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</si>
  <si>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</si>
  <si>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</si>
  <si>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</si>
  <si>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</si>
  <si>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</si>
  <si>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</si>
  <si>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</si>
  <si>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</si>
  <si>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</si>
  <si>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</si>
  <si>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</si>
  <si>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</si>
  <si>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</si>
  <si>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</si>
  <si>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</si>
  <si>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</si>
  <si>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</si>
  <si>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</si>
  <si>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</si>
  <si>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</si>
  <si>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</si>
  <si>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</si>
  <si>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</si>
  <si>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</si>
  <si>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</si>
  <si>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</si>
  <si>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</si>
  <si>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</si>
  <si>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</si>
  <si>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</si>
  <si>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</si>
  <si>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</si>
  <si>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</si>
  <si>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</si>
  <si>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</si>
  <si>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</si>
  <si>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</si>
  <si>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</si>
  <si>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</si>
  <si>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</si>
  <si>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</si>
  <si>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</si>
  <si>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</si>
  <si>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</si>
  <si>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</si>
  <si>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</si>
  <si>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</si>
  <si>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</si>
  <si>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</si>
  <si>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</si>
  <si>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</si>
  <si>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</si>
  <si>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</si>
  <si>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</si>
  <si>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</si>
  <si>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</si>
  <si>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</si>
  <si>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</si>
  <si>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</si>
  <si>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</si>
  <si>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</si>
  <si>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</si>
  <si>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</si>
  <si>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</si>
  <si>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</si>
  <si>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</si>
  <si>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</si>
  <si>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</si>
  <si>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</si>
  <si>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</si>
  <si>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</si>
  <si>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</si>
  <si>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</si>
  <si>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</si>
  <si>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</si>
  <si>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</si>
  <si>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</si>
  <si>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</si>
  <si>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</si>
  <si>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</si>
  <si>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</si>
  <si>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</si>
  <si>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</si>
  <si>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</si>
  <si>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</si>
  <si>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</si>
  <si>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</si>
  <si>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</si>
  <si>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</si>
  <si>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</si>
  <si>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</si>
  <si>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</si>
  <si>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</si>
  <si>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</si>
  <si>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</si>
  <si>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</si>
  <si>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</si>
  <si>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</si>
  <si>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</si>
  <si>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</si>
  <si>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</si>
  <si>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</si>
  <si>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</si>
  <si>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</si>
  <si>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</si>
  <si>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</si>
  <si>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</si>
  <si>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</si>
  <si>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</si>
  <si>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</si>
  <si>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</si>
  <si>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</si>
  <si>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</si>
  <si>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</si>
  <si>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</si>
  <si>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</si>
  <si>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</si>
  <si>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</si>
  <si>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</si>
  <si>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</si>
  <si>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</si>
  <si>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</si>
  <si>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</si>
  <si>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</si>
  <si>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</si>
  <si>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</si>
  <si>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</si>
  <si>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</si>
  <si>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</si>
  <si>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</si>
  <si>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</si>
  <si>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</si>
  <si>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</si>
  <si>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</si>
  <si>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</si>
  <si>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</si>
  <si>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</si>
  <si>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</si>
  <si>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</si>
  <si>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</si>
  <si>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</si>
  <si>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</si>
  <si>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</si>
  <si>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</si>
  <si>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</si>
  <si>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</si>
  <si>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</si>
  <si>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</si>
  <si>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</si>
  <si>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</si>
  <si>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</si>
  <si>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</si>
  <si>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</si>
  <si>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</si>
  <si>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</si>
  <si>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</si>
  <si>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</si>
  <si>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</si>
  <si>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</si>
  <si>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</si>
  <si>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</si>
  <si>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</si>
  <si>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</si>
  <si>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</si>
  <si>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</si>
  <si>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</si>
  <si>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</si>
  <si>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</si>
  <si>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</si>
  <si>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</si>
  <si>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</si>
  <si>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</si>
  <si>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</si>
  <si>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</si>
  <si>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</si>
  <si>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</si>
  <si>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</si>
  <si>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</si>
  <si>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</si>
  <si>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</si>
  <si>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</si>
  <si>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</si>
  <si>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</si>
  <si>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</si>
  <si>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</si>
  <si>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</si>
  <si>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</si>
  <si>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</si>
  <si>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</si>
  <si>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</si>
  <si>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</si>
  <si>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</si>
  <si>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</si>
  <si>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</si>
  <si>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</si>
  <si>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</si>
  <si>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</si>
  <si>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</si>
  <si>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</si>
  <si>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</si>
  <si>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</si>
  <si>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</si>
  <si>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</si>
  <si>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</si>
  <si>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</si>
  <si>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</si>
  <si>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</si>
  <si>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</si>
  <si>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</si>
  <si>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</si>
  <si>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</si>
  <si>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</si>
  <si>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</si>
  <si>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</si>
  <si>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</si>
  <si>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</si>
  <si>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</si>
  <si>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</si>
  <si>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</si>
  <si>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</si>
  <si>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</si>
  <si>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</si>
  <si>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</si>
  <si>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</si>
  <si>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</si>
  <si>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</si>
  <si>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</si>
  <si>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</si>
  <si>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</si>
  <si>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</si>
  <si>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</si>
  <si>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</si>
  <si>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</si>
  <si>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</si>
  <si>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</si>
  <si>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</si>
  <si>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</si>
  <si>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</si>
  <si>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</si>
  <si>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</si>
  <si>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</si>
  <si>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</si>
  <si>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</si>
  <si>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</si>
  <si>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</si>
  <si>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</si>
  <si>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</si>
  <si>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</si>
  <si>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</si>
  <si>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</si>
  <si>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</si>
  <si>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</si>
  <si>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</si>
  <si>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</si>
  <si>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</si>
  <si>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</si>
  <si>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</si>
  <si>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</si>
  <si>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</si>
  <si>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</si>
  <si>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</si>
  <si>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</si>
  <si>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</si>
  <si>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</si>
  <si>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</si>
  <si>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</si>
  <si>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</si>
  <si>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</si>
  <si>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</si>
  <si>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</si>
  <si>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</si>
  <si>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</si>
  <si>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</si>
  <si>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</si>
  <si>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</si>
  <si>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</si>
  <si>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</si>
  <si>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</si>
  <si>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</si>
  <si>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</si>
  <si>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</si>
  <si>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</si>
  <si>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</si>
  <si>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</si>
  <si>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</si>
  <si>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</si>
  <si>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</si>
  <si>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</si>
  <si>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</si>
  <si>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</si>
  <si>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</si>
  <si>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</si>
  <si>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</si>
  <si>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</si>
  <si>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</si>
  <si>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</si>
  <si>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</si>
  <si>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</si>
  <si>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</si>
  <si>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</si>
  <si>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</si>
  <si>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</si>
  <si>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</si>
  <si>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</si>
  <si>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</si>
  <si>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</si>
  <si>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</si>
  <si>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</si>
  <si>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</si>
  <si>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</si>
  <si>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</si>
  <si>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</si>
  <si>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</si>
  <si>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</si>
  <si>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</si>
  <si>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</si>
  <si>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</si>
  <si>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</si>
  <si>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</si>
  <si>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</si>
  <si>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</si>
  <si>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</si>
  <si>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</si>
  <si>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</si>
  <si>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</si>
  <si>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</si>
  <si>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</si>
  <si>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</si>
  <si>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</si>
  <si>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</si>
  <si>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</si>
  <si>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</si>
  <si>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</si>
  <si>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</si>
  <si>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</si>
  <si>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</si>
  <si>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</si>
  <si>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</si>
  <si>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</si>
  <si>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</si>
  <si>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</si>
  <si>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</si>
  <si>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</si>
  <si>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</si>
  <si>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</si>
  <si>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</si>
  <si>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</si>
  <si>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</si>
  <si>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</si>
  <si>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</si>
  <si>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</si>
  <si>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</si>
  <si>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</si>
  <si>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</si>
  <si>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>Safespring Backup</t>
    </r>
    <r>
      <rPr>
        <sz val="48"/>
        <color theme="8" tint="0.59999389629810485"/>
        <rFont val="Hind Light"/>
      </rPr>
      <t xml:space="preserve"> | TSM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</si>
  <si>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</si>
  <si>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r>
      <rPr>
        <i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</si>
  <si>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</si>
  <si>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</si>
  <si>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</si>
  <si>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</si>
  <si>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t>Priskalkylator 2022-06-22</t>
  </si>
  <si>
    <t>Price calculator 2022-06-22</t>
  </si>
  <si>
    <t>Priskalkulator 22.06.2022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</si>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</sst>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i/>
      <sz val="10"/>
      <color theme="6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5" fillId="0" borderId="7" xfId="0" applyFont="1" applyBorder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667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659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2" t="s">
        <v>408</v>
      </c>
      <c r="C19" s="982"/>
      <c r="D19" s="982"/>
      <c r="E19" s="982"/>
      <c r="F19" s="982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3" t="s">
        <v>652</v>
      </c>
      <c r="C24" s="983"/>
      <c r="D24" s="983"/>
      <c r="E24" s="983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9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2"/>
      <c r="M42" s="716"/>
    </row>
    <row r="43" spans="2:19" ht="25" customHeight="1">
      <c r="B43" s="983" t="s">
        <v>652</v>
      </c>
      <c r="C43" s="983"/>
      <c r="D43" s="983"/>
      <c r="E43" s="983"/>
      <c r="M43" s="695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7" t="s">
        <v>215</v>
      </c>
      <c r="M44" s="719"/>
      <c r="O44" s="13"/>
      <c r="P44" s="720"/>
      <c r="Q44" s="720"/>
      <c r="R44" s="720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653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1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ref="G62:G63" si="7">H62/720</f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7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653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8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8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8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95"/>
    </row>
    <row r="78" spans="2:20" s="746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4" t="s">
        <v>66</v>
      </c>
      <c r="J78" s="24"/>
      <c r="K78" s="614" t="s">
        <v>534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0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6" t="s">
        <v>661</v>
      </c>
      <c r="C85" s="966"/>
      <c r="D85" s="966"/>
      <c r="E85" s="966"/>
      <c r="F85" s="966"/>
      <c r="G85" s="966"/>
      <c r="H85" s="966"/>
      <c r="I85" s="966"/>
      <c r="J85" s="966"/>
      <c r="K85" s="966"/>
      <c r="M85" s="674"/>
    </row>
    <row r="86" spans="2:20" s="4" customFormat="1" ht="25" customHeight="1">
      <c r="B86" s="966"/>
      <c r="C86" s="966"/>
      <c r="D86" s="966"/>
      <c r="E86" s="966"/>
      <c r="F86" s="966"/>
      <c r="G86" s="966"/>
      <c r="H86" s="966"/>
      <c r="I86" s="966"/>
      <c r="J86" s="966"/>
      <c r="K86" s="966"/>
      <c r="M86" s="674"/>
    </row>
    <row r="87" spans="2:20" s="4" customFormat="1" ht="25" customHeight="1">
      <c r="B87" s="966"/>
      <c r="C87" s="966"/>
      <c r="D87" s="966"/>
      <c r="E87" s="966"/>
      <c r="F87" s="966"/>
      <c r="G87" s="966"/>
      <c r="H87" s="966"/>
      <c r="I87" s="966"/>
      <c r="J87" s="966"/>
      <c r="K87" s="966"/>
      <c r="M87" s="674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4" t="s">
        <v>224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964" t="s">
        <v>657</v>
      </c>
      <c r="D93" s="96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0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19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19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19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19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19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19" s="4" customFormat="1" ht="25" customHeight="1">
      <c r="B108" s="966" t="s">
        <v>660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19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19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4"/>
      <c r="L112" s="764"/>
      <c r="M112" s="688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228</v>
      </c>
      <c r="F115" s="789"/>
      <c r="G115" s="24" t="s">
        <v>619</v>
      </c>
      <c r="H115" s="24"/>
      <c r="I115" s="744" t="s">
        <v>90</v>
      </c>
      <c r="J115" s="744" t="s">
        <v>458</v>
      </c>
      <c r="K115" s="614" t="s">
        <v>92</v>
      </c>
      <c r="L115" s="738"/>
      <c r="M115" s="960" t="s">
        <v>454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455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456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457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663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664</v>
      </c>
      <c r="C127" s="505"/>
      <c r="D127" s="505"/>
      <c r="E127" s="505"/>
      <c r="F127" s="505"/>
      <c r="H127" s="685"/>
      <c r="I127" s="684"/>
      <c r="J127" s="686"/>
      <c r="K127" s="864"/>
      <c r="L127" s="764"/>
      <c r="M127" s="688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7" t="s">
        <v>445</v>
      </c>
      <c r="D130" s="967"/>
      <c r="E130" s="967" t="s">
        <v>446</v>
      </c>
      <c r="F130" s="967"/>
      <c r="G130" s="967" t="s">
        <v>228</v>
      </c>
      <c r="H130" s="967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444</v>
      </c>
      <c r="F131" s="975"/>
      <c r="G131" s="969">
        <v>15000</v>
      </c>
      <c r="H131" s="970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443</v>
      </c>
      <c r="D132" s="974"/>
      <c r="E132" s="976" t="s">
        <v>447</v>
      </c>
      <c r="F132" s="976"/>
      <c r="G132" s="971">
        <v>24000</v>
      </c>
      <c r="H132" s="972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234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3"/>
      <c r="M140" s="70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4"/>
      <c r="L141" s="684"/>
      <c r="M141" s="702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4"/>
      <c r="L142" s="684"/>
      <c r="M142" s="702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95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702"/>
      <c r="N144" s="759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2" t="s">
        <v>107</v>
      </c>
      <c r="K145" s="858">
        <f>NET_publicv4_SEK</f>
        <v>25</v>
      </c>
      <c r="M145" s="702"/>
      <c r="N145" s="759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3"/>
      <c r="G146" s="793"/>
      <c r="H146" s="793"/>
      <c r="I146" s="793"/>
      <c r="J146" s="794" t="s">
        <v>94</v>
      </c>
      <c r="K146" s="556">
        <f>NET_publicv6_SEK</f>
        <v>0</v>
      </c>
      <c r="M146" s="702"/>
      <c r="N146" s="759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2" t="s">
        <v>69</v>
      </c>
      <c r="K147" s="557">
        <f>NET_ingress_SEK</f>
        <v>0</v>
      </c>
      <c r="M147" s="702"/>
      <c r="N147" s="759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3"/>
      <c r="G148" s="793"/>
      <c r="H148" s="793"/>
      <c r="I148" s="793"/>
      <c r="J148" s="795" t="s">
        <v>69</v>
      </c>
      <c r="K148" s="556">
        <f>NET_egress_SEK</f>
        <v>0.25</v>
      </c>
      <c r="M148" s="702"/>
      <c r="N148" s="759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2" t="s">
        <v>240</v>
      </c>
      <c r="K149" s="557" t="str">
        <f>NET_mgn.slb_SEK</f>
        <v>Begär offert</v>
      </c>
      <c r="M149" s="702"/>
    </row>
    <row r="150" spans="2:18" ht="25" customHeight="1">
      <c r="B150" s="137" t="s">
        <v>505</v>
      </c>
      <c r="C150" s="130" t="s">
        <v>118</v>
      </c>
      <c r="D150" s="130"/>
      <c r="E150" s="41"/>
      <c r="F150" s="793"/>
      <c r="G150" s="793"/>
      <c r="H150" s="793"/>
      <c r="I150" s="793"/>
      <c r="J150" s="794" t="s">
        <v>94</v>
      </c>
      <c r="K150" s="556">
        <f>NET_rdns_SEK</f>
        <v>0</v>
      </c>
      <c r="M150" s="702"/>
      <c r="N150" s="759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7" t="s">
        <v>94</v>
      </c>
      <c r="K151" s="557">
        <v>0</v>
      </c>
      <c r="M151" s="702"/>
      <c r="N151" s="759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6"/>
      <c r="M152" s="702"/>
      <c r="N152" s="759"/>
      <c r="O152" s="8"/>
    </row>
    <row r="153" spans="2:18" ht="25" customHeight="1">
      <c r="C153" s="43"/>
      <c r="J153" s="43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8"/>
      <c r="M155" s="702"/>
      <c r="N155" s="759"/>
      <c r="O155" s="8"/>
    </row>
    <row r="156" spans="2:18" ht="25" customHeight="1">
      <c r="B156" s="630" t="s">
        <v>459</v>
      </c>
      <c r="M156" s="695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702"/>
      <c r="N157" s="759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2" t="s">
        <v>10</v>
      </c>
      <c r="K158" s="858">
        <f>SW_win.ser.201X_SEK</f>
        <v>78</v>
      </c>
      <c r="L158" s="757"/>
      <c r="M158" s="702"/>
      <c r="N158" s="759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3"/>
      <c r="G159" s="793"/>
      <c r="H159" s="793"/>
      <c r="I159" s="793"/>
      <c r="J159" s="795" t="s">
        <v>10</v>
      </c>
      <c r="K159" s="859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4" t="s">
        <v>670</v>
      </c>
      <c r="C160" s="129"/>
      <c r="D160" s="30"/>
      <c r="E160" s="30" t="s">
        <v>671</v>
      </c>
      <c r="F160" s="30"/>
      <c r="G160" s="30"/>
      <c r="H160" s="30"/>
      <c r="I160" s="30"/>
      <c r="J160" s="792" t="s">
        <v>10</v>
      </c>
      <c r="K160" s="858">
        <f>SW_win.ser.201X_SEK</f>
        <v>78</v>
      </c>
      <c r="L160" s="757"/>
      <c r="M160" s="702"/>
      <c r="N160" s="759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3"/>
      <c r="G161" s="793"/>
      <c r="H161" s="793"/>
      <c r="I161" s="793"/>
      <c r="J161" s="795" t="s">
        <v>10</v>
      </c>
      <c r="K161" s="859">
        <f>SW_ms.sql.ser_SEK</f>
        <v>1498</v>
      </c>
      <c r="M161" s="702"/>
      <c r="N161" s="759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2" t="s">
        <v>94</v>
      </c>
      <c r="K162" s="858" t="str">
        <f>SW_nextcloud_SEK</f>
        <v>Begär offert</v>
      </c>
      <c r="L162" s="757"/>
      <c r="M162" s="702"/>
      <c r="N162" s="759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3"/>
      <c r="G163" s="793"/>
      <c r="H163" s="793"/>
      <c r="I163" s="793"/>
      <c r="J163" s="795" t="s">
        <v>94</v>
      </c>
      <c r="K163" s="859" t="str">
        <f>SW_suse_SEK</f>
        <v>Begär offert</v>
      </c>
      <c r="M163" s="702"/>
      <c r="N163" s="759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2" t="s">
        <v>94</v>
      </c>
      <c r="K164" s="858" t="str">
        <f>SW_cluster.control_SEK</f>
        <v>3x instanspris</v>
      </c>
      <c r="M164" s="702"/>
      <c r="N164" s="759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3"/>
      <c r="G165" s="793"/>
      <c r="H165" s="793"/>
      <c r="I165" s="793"/>
      <c r="J165" s="795" t="s">
        <v>138</v>
      </c>
      <c r="K165" s="859">
        <f>SW_backup.ninja_SEK</f>
        <v>400</v>
      </c>
      <c r="M165" s="702"/>
      <c r="N165" s="759"/>
      <c r="O165" s="8"/>
    </row>
    <row r="166" spans="2:18" ht="25" customHeight="1">
      <c r="B166" s="106"/>
      <c r="C166" s="103"/>
      <c r="D166" s="104"/>
      <c r="E166" s="105"/>
      <c r="F166" s="799"/>
      <c r="G166" s="799"/>
      <c r="H166" s="799"/>
      <c r="I166" s="799"/>
      <c r="J166" s="800"/>
      <c r="K166" s="887"/>
      <c r="M166" s="702"/>
      <c r="N166" s="759"/>
      <c r="O166" s="8"/>
    </row>
    <row r="167" spans="2:18" ht="25" customHeight="1">
      <c r="B167" s="137"/>
      <c r="C167" s="130"/>
      <c r="D167" s="41"/>
      <c r="E167" s="31"/>
      <c r="F167" s="793"/>
      <c r="G167" s="793"/>
      <c r="H167" s="793"/>
      <c r="I167" s="793"/>
      <c r="J167" s="801"/>
      <c r="K167" s="556"/>
      <c r="M167" s="702"/>
      <c r="N167" s="759"/>
      <c r="O167" s="8"/>
    </row>
    <row r="168" spans="2:18" ht="25" customHeight="1">
      <c r="M168" s="702"/>
      <c r="N168" s="759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702"/>
      <c r="N169" s="759"/>
      <c r="O169" s="8"/>
    </row>
    <row r="170" spans="2:18" ht="25" customHeight="1">
      <c r="B170" s="630" t="s">
        <v>460</v>
      </c>
      <c r="M170" s="695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702"/>
      <c r="N171" s="759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9">
        <f>PAAS_man.kubernetes_SEK</f>
        <v>24000</v>
      </c>
      <c r="M172" s="702"/>
      <c r="N172" s="759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3"/>
      <c r="G173" s="793"/>
      <c r="H173" s="793"/>
      <c r="I173" s="793"/>
      <c r="J173" s="801"/>
      <c r="K173" s="859">
        <f>PAAS_man.postgres.sql_SEK</f>
        <v>15000</v>
      </c>
      <c r="M173" s="702"/>
      <c r="N173" s="759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702"/>
      <c r="N174" s="759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3"/>
      <c r="G175" s="793"/>
      <c r="H175" s="793"/>
      <c r="I175" s="793"/>
      <c r="J175" s="801"/>
      <c r="K175" s="556">
        <f>PAAS_openshift_SEK</f>
        <v>0</v>
      </c>
      <c r="M175" s="702"/>
      <c r="N175" s="759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702"/>
      <c r="N176" s="759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3"/>
      <c r="G177" s="793"/>
      <c r="H177" s="793"/>
      <c r="I177" s="793"/>
      <c r="J177" s="801"/>
      <c r="K177" s="556" t="str">
        <f>PAAS_man.mariadb_SEK</f>
        <v>Begär offert</v>
      </c>
      <c r="M177" s="702"/>
      <c r="N177" s="759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702"/>
      <c r="N178" s="759"/>
      <c r="O178" s="8"/>
    </row>
    <row r="179" spans="2:20" ht="25" customHeight="1">
      <c r="B179" s="106"/>
      <c r="C179" s="103"/>
      <c r="D179" s="397"/>
      <c r="E179" s="105"/>
      <c r="F179" s="799"/>
      <c r="G179" s="799"/>
      <c r="H179" s="799"/>
      <c r="I179" s="799"/>
      <c r="J179" s="800"/>
      <c r="K179" s="887"/>
      <c r="M179" s="702"/>
      <c r="N179" s="759"/>
      <c r="O179" s="8"/>
    </row>
    <row r="180" spans="2:20" ht="25" customHeight="1">
      <c r="B180" s="137"/>
      <c r="C180" s="130"/>
      <c r="D180" s="38"/>
      <c r="E180" s="31"/>
      <c r="F180" s="793"/>
      <c r="G180" s="801"/>
      <c r="H180" s="795"/>
      <c r="I180" s="441"/>
      <c r="M180" s="702"/>
    </row>
    <row r="181" spans="2:20" ht="25" customHeight="1">
      <c r="B181" s="417"/>
      <c r="C181" s="26"/>
      <c r="D181" s="26"/>
      <c r="E181" s="26"/>
      <c r="F181" s="778"/>
      <c r="G181" s="779"/>
      <c r="H181" s="26"/>
      <c r="I181" s="757"/>
      <c r="J181" s="757"/>
      <c r="K181" s="876"/>
      <c r="L181" s="759"/>
      <c r="M181" s="702"/>
      <c r="N181" s="682"/>
      <c r="O181" s="682"/>
    </row>
    <row r="182" spans="2:20" s="4" customFormat="1" ht="25" customHeight="1">
      <c r="B182" s="966" t="s">
        <v>244</v>
      </c>
      <c r="C182" s="966"/>
      <c r="D182" s="966"/>
      <c r="E182" s="966"/>
      <c r="F182" s="966"/>
      <c r="G182" s="966"/>
      <c r="H182" s="802"/>
      <c r="J182" s="681"/>
      <c r="K182" s="863"/>
      <c r="M182" s="702"/>
    </row>
    <row r="183" spans="2:20" s="4" customFormat="1" ht="25" customHeight="1">
      <c r="B183" s="966"/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87" t="s">
        <v>546</v>
      </c>
      <c r="C185" s="987"/>
      <c r="D185" s="987"/>
      <c r="E185" s="987"/>
      <c r="F185" s="987"/>
      <c r="H185" s="802"/>
      <c r="J185" s="681"/>
      <c r="K185" s="863"/>
      <c r="M185" s="702"/>
    </row>
    <row r="186" spans="2:20" s="4" customFormat="1" ht="25" customHeight="1">
      <c r="B186" s="982" t="s">
        <v>420</v>
      </c>
      <c r="C186" s="982"/>
      <c r="D186" s="982"/>
      <c r="E186" s="982"/>
      <c r="F186" s="982"/>
      <c r="G186" s="684"/>
      <c r="H186" s="685"/>
      <c r="I186" s="684"/>
      <c r="J186" s="686"/>
      <c r="K186" s="864"/>
      <c r="L186" s="684"/>
      <c r="M186" s="702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4"/>
      <c r="L187" s="684"/>
      <c r="M187" s="702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8"/>
      <c r="L188" s="13"/>
      <c r="M188" s="702"/>
      <c r="O188" s="759"/>
      <c r="P188" s="759"/>
      <c r="Q188" s="8"/>
      <c r="S188" s="682"/>
      <c r="T188" s="682"/>
    </row>
    <row r="189" spans="2:20" ht="25" customHeight="1">
      <c r="B189" s="630" t="s">
        <v>542</v>
      </c>
      <c r="M189" s="695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7"/>
      <c r="M190" s="702"/>
      <c r="N190" s="759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7" t="s">
        <v>94</v>
      </c>
      <c r="J191" s="797"/>
      <c r="K191" s="557">
        <v>0</v>
      </c>
      <c r="L191" s="757"/>
      <c r="M191" s="702"/>
      <c r="N191" s="759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3"/>
      <c r="G192" s="801"/>
      <c r="H192" s="801"/>
      <c r="I192" s="795" t="s">
        <v>245</v>
      </c>
      <c r="J192" s="795"/>
      <c r="K192" s="556" t="s">
        <v>537</v>
      </c>
      <c r="L192" s="757"/>
      <c r="M192" s="897" t="s">
        <v>662</v>
      </c>
      <c r="N192" s="759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2" t="s">
        <v>247</v>
      </c>
      <c r="J193" s="792"/>
      <c r="K193" s="557" t="s">
        <v>248</v>
      </c>
      <c r="L193" s="757"/>
      <c r="M193" s="702"/>
      <c r="N193" s="759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9"/>
      <c r="G194" s="800"/>
      <c r="H194" s="800"/>
      <c r="I194" s="803"/>
      <c r="J194" s="803"/>
      <c r="K194" s="887"/>
      <c r="L194" s="757"/>
      <c r="M194" s="702"/>
      <c r="N194" s="759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3"/>
      <c r="G195" s="801"/>
      <c r="H195" s="801"/>
      <c r="I195" s="795"/>
      <c r="J195" s="795"/>
      <c r="K195" s="556"/>
      <c r="L195" s="757"/>
      <c r="M195" s="702"/>
      <c r="N195" s="759"/>
      <c r="O195" s="8"/>
      <c r="Q195" s="682"/>
      <c r="R195" s="682"/>
    </row>
    <row r="196" spans="2:18" s="653" customFormat="1" ht="25" customHeight="1">
      <c r="B196" s="651" t="s">
        <v>250</v>
      </c>
      <c r="C196" s="910"/>
      <c r="D196" s="910"/>
      <c r="F196" s="910"/>
      <c r="G196" s="910"/>
      <c r="H196" s="910"/>
      <c r="I196" s="911"/>
      <c r="J196" s="911"/>
      <c r="K196" s="715"/>
      <c r="L196" s="912"/>
      <c r="M196" s="913"/>
      <c r="N196" s="914"/>
      <c r="O196" s="915"/>
      <c r="Q196" s="915"/>
      <c r="R196" s="915"/>
    </row>
    <row r="197" spans="2:18" ht="25" customHeight="1">
      <c r="B197" s="630" t="s">
        <v>543</v>
      </c>
      <c r="M197" s="695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7"/>
      <c r="M198" s="702"/>
      <c r="N198" s="759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2" t="s">
        <v>247</v>
      </c>
      <c r="J199" s="792"/>
      <c r="K199" s="631">
        <f>PS_consult.jun_SEK</f>
        <v>1127</v>
      </c>
      <c r="L199" s="757"/>
      <c r="M199" s="702"/>
      <c r="N199" s="759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3"/>
      <c r="G200" s="801"/>
      <c r="H200" s="801"/>
      <c r="I200" s="795" t="s">
        <v>247</v>
      </c>
      <c r="J200" s="795"/>
      <c r="K200" s="898">
        <f>PS_consult.sen_SEK</f>
        <v>1374</v>
      </c>
      <c r="L200" s="757"/>
      <c r="M200" s="702"/>
      <c r="N200" s="759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2" t="s">
        <v>247</v>
      </c>
      <c r="J201" s="792"/>
      <c r="K201" s="631">
        <f>PS_cloudarch.jun_SEK</f>
        <v>1277</v>
      </c>
      <c r="L201" s="757"/>
      <c r="M201" s="702"/>
      <c r="N201" s="759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1"/>
      <c r="H202" s="801"/>
      <c r="I202" s="795" t="s">
        <v>247</v>
      </c>
      <c r="J202" s="795"/>
      <c r="K202" s="898">
        <f>PS_cloudarch.sen_SEK</f>
        <v>1374</v>
      </c>
      <c r="L202" s="757"/>
      <c r="M202" s="702"/>
      <c r="N202" s="759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2" t="s">
        <v>247</v>
      </c>
      <c r="J203" s="792"/>
      <c r="K203" s="631">
        <f>PS_pm.jun_SEK</f>
        <v>1139</v>
      </c>
      <c r="L203" s="757"/>
      <c r="M203" s="702"/>
      <c r="N203" s="759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3"/>
      <c r="G204" s="801"/>
      <c r="H204" s="801"/>
      <c r="I204" s="795" t="s">
        <v>247</v>
      </c>
      <c r="J204" s="795"/>
      <c r="K204" s="898">
        <f>PS_pm.sen_SEK</f>
        <v>1374</v>
      </c>
      <c r="L204" s="757"/>
      <c r="M204" s="702"/>
      <c r="N204" s="759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9"/>
      <c r="G205" s="800"/>
      <c r="H205" s="800"/>
      <c r="I205" s="803"/>
      <c r="J205" s="803"/>
      <c r="K205" s="887"/>
      <c r="L205" s="757"/>
      <c r="M205" s="702"/>
      <c r="N205" s="759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3"/>
      <c r="G206" s="801"/>
      <c r="H206" s="801"/>
      <c r="I206" s="795"/>
      <c r="J206" s="795"/>
      <c r="K206" s="556"/>
      <c r="M206" s="702"/>
      <c r="N206" s="759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8"/>
      <c r="J207" s="798"/>
      <c r="L207" s="757"/>
      <c r="M207" s="702"/>
      <c r="N207" s="759"/>
      <c r="O207" s="8"/>
      <c r="Q207" s="682"/>
      <c r="R207" s="682"/>
    </row>
    <row r="208" spans="2:18" ht="25" customHeight="1">
      <c r="B208" s="630" t="s">
        <v>544</v>
      </c>
      <c r="M208" s="695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7"/>
      <c r="M209" s="702"/>
      <c r="N209" s="759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2" t="s">
        <v>254</v>
      </c>
      <c r="H210" s="792"/>
      <c r="I210" s="792" t="s">
        <v>255</v>
      </c>
      <c r="J210" s="792"/>
      <c r="K210" s="557" t="s">
        <v>248</v>
      </c>
      <c r="L210" s="757"/>
      <c r="M210" s="702"/>
      <c r="N210" s="759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3"/>
      <c r="G211" s="795" t="s">
        <v>254</v>
      </c>
      <c r="H211" s="795"/>
      <c r="I211" s="795" t="s">
        <v>255</v>
      </c>
      <c r="J211" s="795"/>
      <c r="K211" s="556" t="s">
        <v>248</v>
      </c>
      <c r="L211" s="757"/>
      <c r="M211" s="702"/>
      <c r="N211" s="759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2" t="s">
        <v>258</v>
      </c>
      <c r="H212" s="792"/>
      <c r="I212" s="792" t="s">
        <v>255</v>
      </c>
      <c r="J212" s="792"/>
      <c r="K212" s="557" t="s">
        <v>248</v>
      </c>
      <c r="L212" s="757"/>
      <c r="M212" s="702"/>
      <c r="N212" s="759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3"/>
      <c r="G213" s="795" t="s">
        <v>258</v>
      </c>
      <c r="H213" s="795"/>
      <c r="I213" s="795" t="s">
        <v>255</v>
      </c>
      <c r="J213" s="795"/>
      <c r="K213" s="556" t="s">
        <v>248</v>
      </c>
      <c r="L213" s="757"/>
      <c r="M213" s="702"/>
      <c r="N213" s="759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9"/>
      <c r="G214" s="800"/>
      <c r="H214" s="800"/>
      <c r="I214" s="800"/>
      <c r="J214" s="800"/>
      <c r="K214" s="887"/>
      <c r="L214" s="757"/>
      <c r="M214" s="702"/>
      <c r="N214" s="759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8"/>
      <c r="G215" s="779"/>
      <c r="H215" s="757"/>
      <c r="I215" s="757"/>
      <c r="J215" s="757"/>
      <c r="K215" s="877"/>
      <c r="L215" s="759"/>
      <c r="M215" s="702"/>
      <c r="N215" s="682"/>
      <c r="O215" s="682"/>
    </row>
    <row r="216" spans="1:18" ht="25" customHeight="1">
      <c r="A216" s="789"/>
      <c r="B216" s="642"/>
      <c r="C216" s="60"/>
      <c r="D216" s="60"/>
      <c r="E216" s="60"/>
      <c r="F216" s="804"/>
      <c r="G216" s="805"/>
      <c r="H216" s="806"/>
      <c r="I216" s="807"/>
      <c r="J216" s="808"/>
      <c r="K216" s="889"/>
      <c r="L216" s="809"/>
      <c r="M216" s="702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10"/>
      <c r="G217" s="811"/>
      <c r="H217" s="812"/>
      <c r="I217" s="813"/>
      <c r="J217" s="814"/>
      <c r="K217" s="890"/>
      <c r="L217" s="3"/>
      <c r="M217" s="674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985" t="s">
        <v>260</v>
      </c>
      <c r="C220" s="985"/>
      <c r="D220" s="985"/>
      <c r="E220" s="985"/>
      <c r="F220" s="985"/>
      <c r="G220" s="985"/>
      <c r="H220" s="672"/>
      <c r="I220" s="815"/>
      <c r="J220" s="3"/>
      <c r="K220" s="861"/>
      <c r="L220" s="3"/>
      <c r="M220" s="674"/>
    </row>
    <row r="221" spans="1:18" s="4" customFormat="1" ht="25" customHeight="1">
      <c r="A221" s="3"/>
      <c r="B221" s="985"/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6" t="s">
        <v>420</v>
      </c>
      <c r="C223" s="986"/>
      <c r="D223" s="986"/>
      <c r="E223" s="986"/>
      <c r="F223" s="986"/>
      <c r="G223" s="3"/>
      <c r="H223" s="672"/>
      <c r="I223" s="815"/>
      <c r="J223" s="3"/>
      <c r="K223" s="861"/>
      <c r="L223" s="816"/>
      <c r="M223" s="688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1"/>
      <c r="L226" s="816"/>
      <c r="M226" s="688"/>
    </row>
    <row r="227" spans="1:20" s="4" customFormat="1" ht="25" customHeight="1">
      <c r="A227" s="3"/>
      <c r="B227" s="965" t="s">
        <v>3</v>
      </c>
      <c r="C227" s="67"/>
      <c r="D227" s="67"/>
      <c r="E227" s="67"/>
      <c r="F227" s="67"/>
      <c r="G227" s="816"/>
      <c r="H227" s="817"/>
      <c r="I227" s="816"/>
      <c r="J227" s="818"/>
      <c r="K227" s="891"/>
      <c r="L227" s="816"/>
      <c r="M227" s="688"/>
    </row>
    <row r="228" spans="1:20" s="729" customFormat="1" ht="25" customHeight="1">
      <c r="A228" s="819"/>
      <c r="B228" s="916"/>
      <c r="C228" s="135"/>
      <c r="D228" s="135"/>
      <c r="E228" s="135"/>
      <c r="F228" s="135"/>
      <c r="G228" s="816"/>
      <c r="H228" s="817"/>
      <c r="I228" s="816"/>
      <c r="J228" s="818"/>
      <c r="K228" s="891"/>
      <c r="L228" s="819"/>
      <c r="M228" s="781"/>
      <c r="N228" s="820"/>
      <c r="O228" s="746"/>
      <c r="P228" s="746"/>
      <c r="Q228" s="746"/>
      <c r="R228" s="746"/>
      <c r="S228" s="746"/>
      <c r="T228" s="746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2"/>
      <c r="L229" s="821"/>
      <c r="M229" s="670"/>
      <c r="N229" s="28"/>
    </row>
    <row r="230" spans="1:20" ht="25" customHeight="1">
      <c r="A230" s="2"/>
      <c r="B230" s="855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2"/>
      <c r="I230" s="823"/>
      <c r="J230" s="666">
        <f>K64+K73+K55+K38+K82</f>
        <v>0</v>
      </c>
      <c r="K230" s="858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4"/>
      <c r="G231" s="825"/>
      <c r="H231" s="825"/>
      <c r="I231" s="826"/>
      <c r="J231" s="667">
        <f>K95</f>
        <v>0</v>
      </c>
      <c r="K231" s="858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4"/>
      <c r="G232" s="825"/>
      <c r="H232" s="825"/>
      <c r="I232" s="826"/>
      <c r="J232" s="667">
        <f>K119</f>
        <v>0</v>
      </c>
      <c r="K232" s="858"/>
      <c r="L232" s="2"/>
      <c r="M232" s="670"/>
      <c r="N232" s="28"/>
    </row>
    <row r="233" spans="1:20" s="830" customFormat="1" ht="25" customHeight="1">
      <c r="A233" s="827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8"/>
      <c r="H233" s="828"/>
      <c r="I233" s="775"/>
      <c r="J233" s="437">
        <f>K133</f>
        <v>0</v>
      </c>
      <c r="K233" s="858"/>
      <c r="L233" s="827"/>
      <c r="M233" s="829"/>
    </row>
    <row r="234" spans="1:20" s="836" customFormat="1" ht="25" customHeight="1">
      <c r="A234" s="831"/>
      <c r="B234" s="664" t="s">
        <v>222</v>
      </c>
      <c r="C234" s="659"/>
      <c r="D234" s="660"/>
      <c r="E234" s="660"/>
      <c r="F234" s="832"/>
      <c r="G234" s="833"/>
      <c r="H234" s="833"/>
      <c r="I234" s="834"/>
      <c r="J234" s="668">
        <f>SUM(J230:J233)</f>
        <v>0</v>
      </c>
      <c r="K234" s="893"/>
      <c r="L234" s="831"/>
      <c r="M234" s="835"/>
    </row>
    <row r="235" spans="1:20" ht="25" customHeight="1">
      <c r="A235" s="2"/>
      <c r="B235" s="421"/>
      <c r="C235" s="59"/>
      <c r="D235" s="59"/>
      <c r="E235" s="59"/>
      <c r="F235" s="837"/>
      <c r="G235" s="838"/>
      <c r="H235" s="838"/>
      <c r="I235" s="839"/>
      <c r="J235" s="839"/>
      <c r="K235" s="894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6"/>
      <c r="J236" s="751"/>
      <c r="K236" s="858"/>
      <c r="L236" s="2"/>
      <c r="M236" s="670"/>
    </row>
    <row r="237" spans="1:20" ht="25" customHeight="1">
      <c r="A237" s="840"/>
      <c r="B237" s="646"/>
      <c r="C237" s="42"/>
      <c r="D237" s="33"/>
      <c r="E237" s="34"/>
      <c r="F237" s="841"/>
      <c r="G237" s="828"/>
      <c r="H237" s="42"/>
      <c r="I237" s="842"/>
      <c r="J237" s="437"/>
      <c r="K237" s="596"/>
      <c r="L237" s="843"/>
      <c r="M237" s="670"/>
    </row>
    <row r="238" spans="1:20" s="112" customFormat="1" ht="25" customHeight="1">
      <c r="B238" s="647"/>
      <c r="C238" s="108"/>
      <c r="D238" s="109"/>
      <c r="E238" s="110"/>
      <c r="F238" s="844"/>
      <c r="G238" s="845"/>
      <c r="H238" s="108"/>
      <c r="I238" s="846"/>
      <c r="J238" s="847"/>
      <c r="K238" s="895"/>
    </row>
    <row r="239" spans="1:20" s="112" customFormat="1" ht="25" customHeight="1">
      <c r="B239" s="647"/>
      <c r="C239" s="108"/>
      <c r="D239" s="108"/>
      <c r="E239" s="108"/>
      <c r="F239" s="848"/>
      <c r="G239" s="849"/>
      <c r="H239" s="850"/>
      <c r="I239" s="850"/>
      <c r="J239" s="850"/>
      <c r="K239" s="896"/>
      <c r="L239" s="847"/>
      <c r="M239" s="847"/>
      <c r="N239" s="847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851" customFormat="1" ht="25" customHeight="1">
      <c r="A248" s="112"/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8"/>
      <c r="K268" s="896"/>
      <c r="M268" s="852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30" spans="2:4" ht="25" customHeight="1">
      <c r="B330" s="649"/>
      <c r="C330" s="38"/>
      <c r="D330" s="96"/>
    </row>
  </sheetData>
  <sheetProtection algorithmName="SHA-512" hashValue="5PTUUeqKyqEPAS7r1Jd4wBzx3wb7t8IHs83ybFu7WXmB6Sk/Ho4kUgRJKXFsI2GtfsZ9GyzxHAB/kBhaq/LuVw==" saltValue="TaRlSaNqy3xqKyz2mvuDx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7" max="13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1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668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4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4"/>
      <c r="L20" s="764"/>
      <c r="M20" s="702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8" t="s">
        <v>647</v>
      </c>
      <c r="C24" s="988"/>
      <c r="D24" s="988"/>
      <c r="E24" s="988"/>
      <c r="F24" s="988"/>
      <c r="M24" s="695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7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1">
        <f t="shared" ref="F26:F37" si="0">G26/720</f>
        <v>6.533333333333334E-2</v>
      </c>
      <c r="G26" s="921">
        <f t="shared" ref="G26:G37" si="1">C26*IAAS_vcpu_EUR+D26*IAAS_ram_EUR+E26*IAAS_nvme_EUR</f>
        <v>47.040000000000006</v>
      </c>
      <c r="H26" s="44"/>
      <c r="I26" s="701"/>
      <c r="J26" s="44"/>
      <c r="K26" s="923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2">
        <f t="shared" si="0"/>
        <v>0.11977777777777779</v>
      </c>
      <c r="G27" s="922">
        <f t="shared" si="1"/>
        <v>86.240000000000009</v>
      </c>
      <c r="H27" s="46"/>
      <c r="I27" s="701"/>
      <c r="J27" s="46"/>
      <c r="K27" s="924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1">
        <f t="shared" si="0"/>
        <v>0.18783333333333335</v>
      </c>
      <c r="G28" s="921">
        <f t="shared" si="1"/>
        <v>135.24</v>
      </c>
      <c r="H28" s="44"/>
      <c r="I28" s="701"/>
      <c r="J28" s="44"/>
      <c r="K28" s="923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2">
        <f t="shared" si="0"/>
        <v>0.11705555555555555</v>
      </c>
      <c r="G29" s="922">
        <f t="shared" si="1"/>
        <v>84.28</v>
      </c>
      <c r="H29" s="46"/>
      <c r="I29" s="701"/>
      <c r="J29" s="46"/>
      <c r="K29" s="924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1">
        <f t="shared" si="0"/>
        <v>0.17150000000000001</v>
      </c>
      <c r="G30" s="921">
        <f t="shared" si="1"/>
        <v>123.48</v>
      </c>
      <c r="H30" s="44"/>
      <c r="I30" s="701"/>
      <c r="J30" s="44"/>
      <c r="K30" s="923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2">
        <f t="shared" si="0"/>
        <v>0.23955555555555558</v>
      </c>
      <c r="G31" s="922">
        <f t="shared" si="1"/>
        <v>172.48000000000002</v>
      </c>
      <c r="H31" s="46"/>
      <c r="I31" s="701"/>
      <c r="J31" s="46"/>
      <c r="K31" s="924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1">
        <f t="shared" si="0"/>
        <v>0.22050000000000003</v>
      </c>
      <c r="G32" s="921">
        <f t="shared" si="1"/>
        <v>158.76000000000002</v>
      </c>
      <c r="H32" s="44"/>
      <c r="I32" s="701"/>
      <c r="J32" s="44"/>
      <c r="K32" s="923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2">
        <f t="shared" si="0"/>
        <v>0.27494444444444444</v>
      </c>
      <c r="G33" s="922">
        <f t="shared" si="1"/>
        <v>197.96</v>
      </c>
      <c r="H33" s="46"/>
      <c r="I33" s="701"/>
      <c r="J33" s="46"/>
      <c r="K33" s="924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1">
        <f t="shared" si="0"/>
        <v>0.34300000000000003</v>
      </c>
      <c r="G34" s="921">
        <f t="shared" si="1"/>
        <v>246.96</v>
      </c>
      <c r="H34" s="44"/>
      <c r="I34" s="701"/>
      <c r="J34" s="44"/>
      <c r="K34" s="923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2">
        <f t="shared" si="0"/>
        <v>0.42738888888888893</v>
      </c>
      <c r="G35" s="922">
        <f t="shared" si="1"/>
        <v>307.72000000000003</v>
      </c>
      <c r="H35" s="46"/>
      <c r="I35" s="701"/>
      <c r="J35" s="46"/>
      <c r="K35" s="924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1">
        <f t="shared" si="0"/>
        <v>0.48183333333333334</v>
      </c>
      <c r="G36" s="921">
        <f t="shared" si="1"/>
        <v>346.92</v>
      </c>
      <c r="H36" s="44"/>
      <c r="I36" s="701"/>
      <c r="J36" s="44"/>
      <c r="K36" s="923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2">
        <f t="shared" si="0"/>
        <v>0.54988888888888887</v>
      </c>
      <c r="G37" s="922">
        <f t="shared" si="1"/>
        <v>395.92</v>
      </c>
      <c r="H37" s="46"/>
      <c r="I37" s="701"/>
      <c r="J37" s="46"/>
      <c r="K37" s="924">
        <f t="shared" si="2"/>
        <v>0</v>
      </c>
      <c r="M37" s="702"/>
      <c r="P37" s="689"/>
      <c r="R37" s="689"/>
    </row>
    <row r="38" spans="2:18" s="904" customFormat="1" ht="25" customHeight="1">
      <c r="B38" s="900" t="s">
        <v>30</v>
      </c>
      <c r="C38" s="901" cm="1">
        <f t="array" ref="C38">SUM(C26:C37*I26:I37)</f>
        <v>0</v>
      </c>
      <c r="D38" s="901" cm="1">
        <f t="array" ref="D38">SUM(D26:D37*I26:I37)</f>
        <v>0</v>
      </c>
      <c r="E38" s="926" cm="1">
        <f t="array" ref="E38">SUM(E26:E37*I26:I37)</f>
        <v>0</v>
      </c>
      <c r="F38" s="901"/>
      <c r="G38" s="901"/>
      <c r="H38" s="901"/>
      <c r="I38" s="901">
        <f>SUM(I26:I37)</f>
        <v>0</v>
      </c>
      <c r="J38" s="901"/>
      <c r="K38" s="925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2"/>
      <c r="M42" s="716"/>
    </row>
    <row r="43" spans="2:18" ht="25" customHeight="1">
      <c r="B43" s="988" t="s">
        <v>647</v>
      </c>
      <c r="C43" s="988"/>
      <c r="D43" s="988"/>
      <c r="E43" s="988"/>
      <c r="F43" s="988"/>
      <c r="M43" s="695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7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1">
        <f t="shared" ref="F45:F54" si="3">G45/720</f>
        <v>2.5861111111111112E-2</v>
      </c>
      <c r="G45" s="921">
        <f t="shared" ref="G45:G54" si="4">C45*IAAS_vcpu_EUR+D45*IAAS_ram_EUR+E45*IAAS_ssd_EUR</f>
        <v>18.62</v>
      </c>
      <c r="H45" s="44"/>
      <c r="I45" s="701"/>
      <c r="J45" s="44"/>
      <c r="K45" s="923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2">
        <f t="shared" si="3"/>
        <v>4.083333333333334E-2</v>
      </c>
      <c r="G46" s="922">
        <f t="shared" si="4"/>
        <v>29.400000000000002</v>
      </c>
      <c r="H46" s="46"/>
      <c r="I46" s="701"/>
      <c r="J46" s="46"/>
      <c r="K46" s="924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1">
        <f t="shared" si="3"/>
        <v>5.1722222222222225E-2</v>
      </c>
      <c r="G47" s="921">
        <f t="shared" si="4"/>
        <v>37.24</v>
      </c>
      <c r="H47" s="44"/>
      <c r="I47" s="701"/>
      <c r="J47" s="44"/>
      <c r="K47" s="923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2">
        <f t="shared" si="3"/>
        <v>8.1666666666666679E-2</v>
      </c>
      <c r="G48" s="922">
        <f t="shared" si="4"/>
        <v>58.800000000000004</v>
      </c>
      <c r="H48" s="46"/>
      <c r="I48" s="701"/>
      <c r="J48" s="46"/>
      <c r="K48" s="924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1">
        <f t="shared" si="3"/>
        <v>0.10344444444444445</v>
      </c>
      <c r="G49" s="921">
        <f t="shared" si="4"/>
        <v>74.48</v>
      </c>
      <c r="H49" s="44"/>
      <c r="I49" s="701"/>
      <c r="J49" s="44"/>
      <c r="K49" s="923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2">
        <f t="shared" si="3"/>
        <v>0.16333333333333336</v>
      </c>
      <c r="G50" s="922">
        <f t="shared" si="4"/>
        <v>117.60000000000001</v>
      </c>
      <c r="H50" s="46"/>
      <c r="I50" s="701"/>
      <c r="J50" s="46"/>
      <c r="K50" s="924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1">
        <f t="shared" si="3"/>
        <v>0.2068888888888889</v>
      </c>
      <c r="G51" s="921">
        <f t="shared" si="4"/>
        <v>148.96</v>
      </c>
      <c r="H51" s="44"/>
      <c r="I51" s="701"/>
      <c r="J51" s="44"/>
      <c r="K51" s="923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2">
        <f t="shared" si="3"/>
        <v>0.32666666666666672</v>
      </c>
      <c r="G52" s="922">
        <f t="shared" si="4"/>
        <v>235.20000000000002</v>
      </c>
      <c r="H52" s="46"/>
      <c r="I52" s="701"/>
      <c r="J52" s="46"/>
      <c r="K52" s="924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1">
        <f t="shared" si="3"/>
        <v>0.4137777777777778</v>
      </c>
      <c r="G53" s="921">
        <f t="shared" si="4"/>
        <v>297.92</v>
      </c>
      <c r="H53" s="44"/>
      <c r="I53" s="701"/>
      <c r="J53" s="44"/>
      <c r="K53" s="923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2">
        <f t="shared" si="3"/>
        <v>0.65333333333333343</v>
      </c>
      <c r="G54" s="922">
        <f t="shared" si="4"/>
        <v>470.40000000000003</v>
      </c>
      <c r="H54" s="46"/>
      <c r="I54" s="701"/>
      <c r="J54" s="46"/>
      <c r="K54" s="924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30</v>
      </c>
      <c r="C55" s="901" cm="1">
        <f t="array" ref="C55">SUM(b2_list_vCPU*b2_list_Antal_instanser)</f>
        <v>0</v>
      </c>
      <c r="D55" s="901" cm="1">
        <f t="array" ref="D55">SUM(b2_list_ram*b2_list_vCPU)</f>
        <v>0</v>
      </c>
      <c r="E55" s="907" t="s">
        <v>94</v>
      </c>
      <c r="F55" s="901"/>
      <c r="G55" s="901"/>
      <c r="H55" s="901"/>
      <c r="I55" s="901">
        <f>SUM(I45:I54)</f>
        <v>0</v>
      </c>
      <c r="J55" s="901"/>
      <c r="K55" s="928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538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538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95"/>
    </row>
    <row r="78" spans="2:20" s="746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4" t="s">
        <v>561</v>
      </c>
      <c r="J78" s="24"/>
      <c r="K78" s="614" t="s">
        <v>83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3">
        <f>G79/720</f>
        <v>1.6333333333333334E-4</v>
      </c>
      <c r="G79" s="934">
        <f>VOLUME_large_EUR</f>
        <v>0.1176</v>
      </c>
      <c r="H79" s="749"/>
      <c r="I79" s="750"/>
      <c r="J79" s="399"/>
      <c r="K79" s="929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5">
        <f>G80/720</f>
        <v>4.8999999999999998E-4</v>
      </c>
      <c r="G80" s="936">
        <f>VOLUME_fast_EUR</f>
        <v>0.3528</v>
      </c>
      <c r="H80" s="752"/>
      <c r="I80" s="754"/>
      <c r="J80" s="755"/>
      <c r="K80" s="930">
        <f>ROUNDUP(I80*G80,2)</f>
        <v>0</v>
      </c>
      <c r="L80" s="8"/>
      <c r="M80" s="702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3">
        <f>G81/720</f>
        <v>1.6333333333333334E-4</v>
      </c>
      <c r="G81" s="934">
        <f>VOLUME_large_EUR</f>
        <v>0.1176</v>
      </c>
      <c r="H81" s="756"/>
      <c r="I81" s="750"/>
      <c r="J81" s="399"/>
      <c r="K81" s="929">
        <f>ROUNDUP(I81*G81,2)</f>
        <v>0</v>
      </c>
      <c r="L81" s="8"/>
      <c r="M81" s="702"/>
    </row>
    <row r="82" spans="2:20" s="904" customFormat="1" ht="25" customHeight="1">
      <c r="B82" s="900" t="s">
        <v>30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27">
        <f>SUM(K79:K81)</f>
        <v>0</v>
      </c>
      <c r="M82" s="905"/>
      <c r="P82" s="906"/>
      <c r="R82" s="906"/>
    </row>
    <row r="83" spans="2:20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0" s="4" customFormat="1" ht="25" customHeight="1">
      <c r="B85" s="966" t="s">
        <v>72</v>
      </c>
      <c r="C85" s="966"/>
      <c r="D85" s="966"/>
      <c r="E85" s="966"/>
      <c r="F85" s="966"/>
      <c r="G85" s="966"/>
      <c r="H85" s="679"/>
      <c r="J85" s="681"/>
      <c r="K85" s="863"/>
      <c r="M85" s="674"/>
    </row>
    <row r="86" spans="2:20" s="4" customFormat="1" ht="25" customHeight="1">
      <c r="B86" s="966"/>
      <c r="C86" s="966"/>
      <c r="D86" s="966"/>
      <c r="E86" s="966"/>
      <c r="F86" s="966"/>
      <c r="G86" s="966"/>
      <c r="H86" s="679"/>
      <c r="J86" s="681"/>
      <c r="K86" s="863"/>
      <c r="M86" s="674"/>
    </row>
    <row r="87" spans="2:20" s="4" customFormat="1" ht="25" customHeight="1">
      <c r="B87" s="966"/>
      <c r="C87" s="966"/>
      <c r="D87" s="966"/>
      <c r="E87" s="966"/>
      <c r="F87" s="966"/>
      <c r="G87" s="966"/>
      <c r="H87" s="679"/>
      <c r="J87" s="681"/>
      <c r="K87" s="863"/>
      <c r="M87" s="674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3"/>
      <c r="M88" s="688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4"/>
      <c r="L90" s="764"/>
      <c r="M90" s="702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4" t="s">
        <v>560</v>
      </c>
      <c r="J92" s="131"/>
      <c r="K92" s="614" t="s">
        <v>83</v>
      </c>
      <c r="L92" s="687"/>
      <c r="M92" s="702"/>
      <c r="N92" s="682"/>
    </row>
    <row r="93" spans="2:20" s="770" customFormat="1" ht="25" customHeight="1">
      <c r="B93" s="445" t="s">
        <v>535</v>
      </c>
      <c r="C93" s="78"/>
      <c r="D93" s="524"/>
      <c r="E93" s="524"/>
      <c r="F93" s="766"/>
      <c r="G93" s="937">
        <f>S3_archive.50_EUR</f>
        <v>34.300000000000004</v>
      </c>
      <c r="H93" s="766"/>
      <c r="I93" s="767"/>
      <c r="J93" s="768"/>
      <c r="K93" s="929">
        <f>I93*G93</f>
        <v>0</v>
      </c>
      <c r="L93" s="769"/>
      <c r="M93" s="702"/>
      <c r="N93" s="737"/>
    </row>
    <row r="94" spans="2:20" s="682" customFormat="1" ht="25" customHeight="1">
      <c r="B94" s="137" t="s">
        <v>494</v>
      </c>
      <c r="C94" s="41"/>
      <c r="D94" s="79"/>
      <c r="E94" s="79"/>
      <c r="F94" s="752"/>
      <c r="G94" s="932">
        <f>S3_storage50_EUR</f>
        <v>49</v>
      </c>
      <c r="H94" s="753"/>
      <c r="I94" s="771"/>
      <c r="J94" s="755"/>
      <c r="K94" s="930">
        <f>I94*G94</f>
        <v>0</v>
      </c>
      <c r="L94" s="8"/>
      <c r="M94" s="702"/>
      <c r="T94" s="689"/>
    </row>
    <row r="95" spans="2:20" s="904" customFormat="1" ht="25" customHeight="1">
      <c r="B95" s="900" t="s">
        <v>30</v>
      </c>
      <c r="C95" s="901"/>
      <c r="D95" s="901"/>
      <c r="E95" s="901"/>
      <c r="F95" s="901"/>
      <c r="G95" s="901"/>
      <c r="H95" s="901"/>
      <c r="I95" s="901"/>
      <c r="J95" s="901"/>
      <c r="K95" s="927">
        <f>SUM(K93:K94)</f>
        <v>0</v>
      </c>
      <c r="M95" s="905"/>
      <c r="P95" s="906"/>
      <c r="R95" s="906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6" t="s">
        <v>86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26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26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4"/>
      <c r="L113" s="764"/>
      <c r="M113" s="702"/>
      <c r="O113" s="682"/>
      <c r="P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9</v>
      </c>
      <c r="C115" s="789"/>
      <c r="D115" s="789"/>
      <c r="E115" s="131" t="s">
        <v>562</v>
      </c>
      <c r="F115" s="789"/>
      <c r="G115" s="131" t="s">
        <v>563</v>
      </c>
      <c r="H115" s="24"/>
      <c r="I115" s="744" t="s">
        <v>561</v>
      </c>
      <c r="J115" s="744" t="s">
        <v>564</v>
      </c>
      <c r="K115" s="614" t="s">
        <v>605</v>
      </c>
      <c r="L115" s="738"/>
      <c r="M115" s="960" t="s">
        <v>565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8">
        <f>BAAS_on.demand_EUR</f>
        <v>0.24010000000000004</v>
      </c>
      <c r="H116" s="399"/>
      <c r="I116" s="767"/>
      <c r="J116" s="909" t="s">
        <v>94</v>
      </c>
      <c r="K116" s="929">
        <f>ROUNDUP(I116*G116,2)</f>
        <v>0</v>
      </c>
      <c r="L116" s="738"/>
      <c r="M116" s="856" t="s">
        <v>566</v>
      </c>
    </row>
    <row r="117" spans="2:32" ht="25" customHeight="1">
      <c r="B117" s="137" t="s">
        <v>496</v>
      </c>
      <c r="C117" s="79"/>
      <c r="D117" s="79"/>
      <c r="E117" s="947">
        <f>BAAS_small.fee_EUR</f>
        <v>539</v>
      </c>
      <c r="F117" s="755"/>
      <c r="G117" s="939">
        <f>BAAS_small_EUR</f>
        <v>0.17150000000000001</v>
      </c>
      <c r="H117" s="755"/>
      <c r="I117" s="784"/>
      <c r="J117" s="785">
        <v>0.75</v>
      </c>
      <c r="K117" s="930">
        <f>IF(I117&gt;0,$E$117+($G$117*(I117*(1-$J$117))),0)</f>
        <v>0</v>
      </c>
      <c r="L117" s="738"/>
      <c r="M117" s="857" t="s">
        <v>567</v>
      </c>
    </row>
    <row r="118" spans="2:32" s="786" customFormat="1" ht="25" customHeight="1">
      <c r="B118" s="466" t="s">
        <v>497</v>
      </c>
      <c r="C118" s="82"/>
      <c r="D118" s="82"/>
      <c r="E118" s="948">
        <f>BAAS_large.fee_EUR</f>
        <v>931</v>
      </c>
      <c r="F118" s="775"/>
      <c r="G118" s="938">
        <f>BAAS_large_EUR</f>
        <v>9.0160000000000004E-2</v>
      </c>
      <c r="H118" s="775"/>
      <c r="I118" s="774"/>
      <c r="J118" s="787">
        <v>0.75</v>
      </c>
      <c r="K118" s="582">
        <f>IF(I118&gt;0,$E$118+($G$118*(I118*(1-$J$118))),0)</f>
        <v>0</v>
      </c>
      <c r="L118" s="738"/>
      <c r="M118" s="856" t="s">
        <v>568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30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27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465" t="s">
        <v>665</v>
      </c>
      <c r="C127" s="465"/>
      <c r="D127" s="465"/>
      <c r="E127" s="465"/>
      <c r="F127" s="465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4"/>
      <c r="L128" s="764"/>
      <c r="M128" s="702"/>
      <c r="O128" s="682"/>
      <c r="P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9</v>
      </c>
      <c r="C130" s="967" t="s">
        <v>570</v>
      </c>
      <c r="D130" s="967"/>
      <c r="E130" s="967" t="s">
        <v>571</v>
      </c>
      <c r="F130" s="967"/>
      <c r="G130" s="989" t="s">
        <v>562</v>
      </c>
      <c r="H130" s="989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574</v>
      </c>
      <c r="F131" s="975"/>
      <c r="G131" s="945">
        <f>PAAS_man.kubernetes_EUR</f>
        <v>2352</v>
      </c>
      <c r="H131" s="943"/>
      <c r="I131" s="767"/>
      <c r="J131" s="963">
        <v>2</v>
      </c>
      <c r="K131" s="941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572</v>
      </c>
      <c r="D132" s="974"/>
      <c r="E132" s="976" t="s">
        <v>573</v>
      </c>
      <c r="F132" s="976"/>
      <c r="G132" s="946">
        <f>PAAS_man.kubernetes8_EUR</f>
        <v>1470</v>
      </c>
      <c r="H132" s="944"/>
      <c r="I132" s="771"/>
      <c r="J132" s="755"/>
      <c r="K132" s="942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30</v>
      </c>
      <c r="C133" s="901"/>
      <c r="D133" s="901"/>
      <c r="E133" s="901"/>
      <c r="F133" s="901"/>
      <c r="G133" s="901"/>
      <c r="H133" s="901"/>
      <c r="I133" s="962"/>
      <c r="J133" s="901"/>
      <c r="K133" s="927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100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990"/>
      <c r="C141" s="990"/>
      <c r="D141" s="990"/>
      <c r="E141" s="990"/>
      <c r="F141" s="99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101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576</v>
      </c>
      <c r="M144" s="695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577</v>
      </c>
      <c r="K145" s="614" t="s">
        <v>14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578</v>
      </c>
      <c r="K146" s="949">
        <f>NET_publicv4_EUR</f>
        <v>2.4500000000000002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950">
        <f>NET_publicv6_EUR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111</v>
      </c>
      <c r="D148" s="129"/>
      <c r="E148" s="148"/>
      <c r="F148" s="37"/>
      <c r="G148" s="37"/>
      <c r="H148" s="37"/>
      <c r="I148" s="37"/>
      <c r="J148" s="792" t="s">
        <v>69</v>
      </c>
      <c r="K148" s="949">
        <f>NET_ingress_EUR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111</v>
      </c>
      <c r="D149" s="130"/>
      <c r="E149" s="41" t="s">
        <v>580</v>
      </c>
      <c r="F149" s="793"/>
      <c r="G149" s="793"/>
      <c r="H149" s="793"/>
      <c r="I149" s="793"/>
      <c r="J149" s="795" t="s">
        <v>69</v>
      </c>
      <c r="K149" s="950">
        <f>NET_egress_EUR</f>
        <v>2.4500000000000001E-2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579</v>
      </c>
      <c r="F150" s="37"/>
      <c r="G150" s="37"/>
      <c r="H150" s="37"/>
      <c r="I150" s="37"/>
      <c r="J150" s="792" t="s">
        <v>116</v>
      </c>
      <c r="K150" s="931" t="str">
        <f>NET_mgn.slb_EUR</f>
        <v>Request a quote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950">
        <f>NET_rdns_EUR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949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581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582</v>
      </c>
      <c r="M157" s="695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577</v>
      </c>
      <c r="K158" s="614" t="s">
        <v>14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929">
        <f>SW_win.ser.201X_EUR</f>
        <v>7.6440000000000001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930">
        <f>SW_win.ser.201X_EUR</f>
        <v>7.6440000000000001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670</v>
      </c>
      <c r="C161" s="129"/>
      <c r="D161" s="30"/>
      <c r="E161" s="30" t="s">
        <v>671</v>
      </c>
      <c r="F161" s="30"/>
      <c r="G161" s="30"/>
      <c r="H161" s="30"/>
      <c r="I161" s="30"/>
      <c r="J161" s="792" t="s">
        <v>10</v>
      </c>
      <c r="K161" s="929">
        <f>SW_win.ser.201X_EUR</f>
        <v>7.6440000000000001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930">
        <f>SW_ms.sql.ser_EUR</f>
        <v>146.804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1088" t="str">
        <f>SW_nextcloud_EUR</f>
        <v>Request a quote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1089" t="str">
        <f>SW_suse_EUR</f>
        <v>Request a quote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1088" t="str">
        <f>SW_cluster.control_EUR</f>
        <v>3x instance price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140</v>
      </c>
      <c r="K166" s="930">
        <f>SW_backup.ninja_EUR</f>
        <v>39.200000000000003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139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583</v>
      </c>
      <c r="M171" s="695"/>
    </row>
    <row r="172" spans="2:18" ht="25" customHeight="1">
      <c r="B172" s="470" t="s">
        <v>9</v>
      </c>
      <c r="C172" s="23"/>
      <c r="D172" s="23"/>
      <c r="E172" s="24" t="s">
        <v>64</v>
      </c>
      <c r="F172" s="24"/>
      <c r="G172" s="24"/>
      <c r="H172" s="24"/>
      <c r="I172" s="24"/>
      <c r="J172" s="131"/>
      <c r="K172" s="614" t="s">
        <v>14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951">
        <f>PAAS_man.kubernetes_EUR</f>
        <v>2352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930">
        <f>PAAS_man.postgres.sql_EUR</f>
        <v>1470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929" t="str">
        <f>PAAS_man.elasticsearch_EUR</f>
        <v>Requests for quotation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584</v>
      </c>
      <c r="F176" s="793"/>
      <c r="G176" s="793"/>
      <c r="H176" s="793"/>
      <c r="I176" s="793"/>
      <c r="J176" s="801"/>
      <c r="K176" s="930">
        <f>PAAS_openshift_EUR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929" t="str">
        <f>PAAS_man.nats_EUR</f>
        <v>Requests for quotation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930" t="str">
        <f>PAAS_man.mariadb_EUR</f>
        <v>Requests for quotation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929" t="str">
        <f>PAAS_man.redis_EUR</f>
        <v>Requests for quotation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6" t="s">
        <v>585</v>
      </c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66"/>
      <c r="C185" s="966"/>
      <c r="D185" s="966"/>
      <c r="E185" s="966"/>
      <c r="F185" s="966"/>
      <c r="G185" s="966"/>
      <c r="H185" s="802"/>
      <c r="J185" s="681"/>
      <c r="K185" s="863"/>
      <c r="M185" s="702"/>
    </row>
    <row r="186" spans="2:20" s="4" customFormat="1" ht="25" customHeight="1">
      <c r="B186" s="987" t="s">
        <v>586</v>
      </c>
      <c r="C186" s="987"/>
      <c r="D186" s="987"/>
      <c r="E186" s="987"/>
      <c r="F186" s="987"/>
      <c r="H186" s="802"/>
      <c r="J186" s="681"/>
      <c r="K186" s="863"/>
      <c r="M186" s="702"/>
    </row>
    <row r="187" spans="2:20" s="4" customFormat="1" ht="25" customHeight="1">
      <c r="B187" s="982" t="s">
        <v>587</v>
      </c>
      <c r="C187" s="982"/>
      <c r="D187" s="982"/>
      <c r="E187" s="982"/>
      <c r="F187" s="982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588</v>
      </c>
      <c r="M190" s="695"/>
    </row>
    <row r="191" spans="2:20" ht="25" customHeight="1">
      <c r="B191" s="470" t="s">
        <v>9</v>
      </c>
      <c r="C191" s="23"/>
      <c r="D191" s="24" t="s">
        <v>64</v>
      </c>
      <c r="E191" s="24"/>
      <c r="F191" s="24"/>
      <c r="G191" s="24"/>
      <c r="H191" s="24"/>
      <c r="I191" s="23" t="s">
        <v>577</v>
      </c>
      <c r="J191" s="23"/>
      <c r="K191" s="614" t="s">
        <v>14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589</v>
      </c>
      <c r="E192" s="40"/>
      <c r="F192" s="30"/>
      <c r="G192" s="40"/>
      <c r="H192" s="40"/>
      <c r="I192" s="797" t="s">
        <v>606</v>
      </c>
      <c r="J192" s="797"/>
      <c r="K192" s="929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157</v>
      </c>
      <c r="J193" s="795"/>
      <c r="K193" s="556" t="s">
        <v>590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161</v>
      </c>
      <c r="J194" s="792"/>
      <c r="K194" s="557" t="s">
        <v>592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593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594</v>
      </c>
      <c r="M198" s="695"/>
    </row>
    <row r="199" spans="2:18" ht="25" customHeight="1">
      <c r="B199" s="470" t="s">
        <v>9</v>
      </c>
      <c r="C199" s="23"/>
      <c r="D199" s="24" t="s">
        <v>64</v>
      </c>
      <c r="E199" s="24"/>
      <c r="F199" s="24"/>
      <c r="G199" s="24"/>
      <c r="H199" s="24"/>
      <c r="I199" s="23" t="s">
        <v>577</v>
      </c>
      <c r="J199" s="23"/>
      <c r="K199" s="614" t="s">
        <v>14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161</v>
      </c>
      <c r="J200" s="792"/>
      <c r="K200" s="929">
        <f>PS_consult.jun_EUR</f>
        <v>110.446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161</v>
      </c>
      <c r="J201" s="795"/>
      <c r="K201" s="930">
        <f>PS_consult.sen_EUR</f>
        <v>134.65200000000002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161</v>
      </c>
      <c r="J202" s="792"/>
      <c r="K202" s="929">
        <f>PS_cloudarch.jun_EUR</f>
        <v>125.146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161</v>
      </c>
      <c r="J203" s="795"/>
      <c r="K203" s="930">
        <f>PS_cloudarch.sen_EUR</f>
        <v>134.65200000000002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161</v>
      </c>
      <c r="J204" s="792"/>
      <c r="K204" s="929">
        <f>PS_pm.jun_EUR</f>
        <v>111.622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161</v>
      </c>
      <c r="J205" s="795"/>
      <c r="K205" s="930">
        <f>PS_pm.sen_EUR</f>
        <v>134.65200000000002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595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596</v>
      </c>
      <c r="M209" s="695"/>
    </row>
    <row r="210" spans="1:18" ht="25" customHeight="1">
      <c r="B210" s="470" t="s">
        <v>9</v>
      </c>
      <c r="C210" s="23"/>
      <c r="D210" s="24" t="s">
        <v>64</v>
      </c>
      <c r="E210" s="132"/>
      <c r="F210" s="24"/>
      <c r="G210" s="131" t="s">
        <v>178</v>
      </c>
      <c r="H210" s="23"/>
      <c r="I210" s="132" t="s">
        <v>577</v>
      </c>
      <c r="J210" s="23"/>
      <c r="K210" s="614" t="s">
        <v>179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182</v>
      </c>
      <c r="E211" s="40"/>
      <c r="F211" s="30"/>
      <c r="G211" s="40" t="s">
        <v>181</v>
      </c>
      <c r="H211" s="792"/>
      <c r="I211" s="952" t="s">
        <v>183</v>
      </c>
      <c r="J211" s="792"/>
      <c r="K211" s="557" t="s">
        <v>592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597</v>
      </c>
      <c r="E212" s="31"/>
      <c r="F212" s="793"/>
      <c r="G212" s="801" t="s">
        <v>181</v>
      </c>
      <c r="H212" s="795"/>
      <c r="I212" s="953" t="s">
        <v>183</v>
      </c>
      <c r="J212" s="795"/>
      <c r="K212" s="556" t="s">
        <v>592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598</v>
      </c>
      <c r="E213" s="40"/>
      <c r="F213" s="30"/>
      <c r="G213" s="40" t="s">
        <v>187</v>
      </c>
      <c r="H213" s="792"/>
      <c r="I213" s="952" t="s">
        <v>183</v>
      </c>
      <c r="J213" s="792"/>
      <c r="K213" s="557" t="s">
        <v>592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599</v>
      </c>
      <c r="E214" s="31"/>
      <c r="F214" s="793"/>
      <c r="G214" s="801" t="s">
        <v>187</v>
      </c>
      <c r="H214" s="795"/>
      <c r="I214" s="953" t="s">
        <v>183</v>
      </c>
      <c r="J214" s="795"/>
      <c r="K214" s="556" t="s">
        <v>592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5" t="s">
        <v>191</v>
      </c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5"/>
      <c r="C223" s="985"/>
      <c r="D223" s="985"/>
      <c r="E223" s="985"/>
      <c r="F223" s="985"/>
      <c r="G223" s="985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6" t="s">
        <v>587</v>
      </c>
      <c r="C224" s="986"/>
      <c r="D224" s="986"/>
      <c r="E224" s="986"/>
      <c r="F224" s="986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601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602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603</v>
      </c>
      <c r="C230" s="56"/>
      <c r="D230" s="57"/>
      <c r="E230" s="56"/>
      <c r="F230" s="665"/>
      <c r="G230" s="665"/>
      <c r="H230" s="665"/>
      <c r="I230" s="56"/>
      <c r="J230" s="665" t="s">
        <v>600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954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955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955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IF(J131=1,"Fully managed service - support weekdays 08: 00-17: 00",IF(J131=3,"Fully managed service - support around the clock, every day",""))</f>
        <v/>
      </c>
      <c r="D234" s="33"/>
      <c r="E234" s="34"/>
      <c r="F234" s="35"/>
      <c r="G234" s="828"/>
      <c r="H234" s="828"/>
      <c r="I234" s="775"/>
      <c r="J234" s="940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30</v>
      </c>
      <c r="C235" s="659"/>
      <c r="D235" s="660"/>
      <c r="E235" s="660"/>
      <c r="F235" s="832"/>
      <c r="G235" s="833"/>
      <c r="H235" s="833"/>
      <c r="I235" s="834"/>
      <c r="J235" s="956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LEXLEdVlJX4g6JLx66de4S/Kn+kslh3QmXgox9rO/V0HRPmKGBbn9SfvZYUSoeIH2Zpv93JyuraZijcmRHr2Ug==" saltValue="NhjgMTFaB3J8tEDmaJhZjw==" spinCount="100000" sheet="1" objects="1" scenarios="1" selectLockedCells="1"/>
  <mergeCells count="41">
    <mergeCell ref="B186:F186"/>
    <mergeCell ref="B187:F187"/>
    <mergeCell ref="B221:G223"/>
    <mergeCell ref="B224:F224"/>
    <mergeCell ref="C132:D132"/>
    <mergeCell ref="E132:F132"/>
    <mergeCell ref="B137:G139"/>
    <mergeCell ref="B141:F141"/>
    <mergeCell ref="B183:G185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8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2" t="str">
        <f>"1 SEK = "&amp;EUR&amp;" EUR"</f>
        <v>1 SEK = 0,098 EUR</v>
      </c>
      <c r="E11" s="1022"/>
      <c r="F11" s="1022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4"/>
      <c r="C16" s="994"/>
      <c r="D16" s="994"/>
      <c r="E16" s="994"/>
      <c r="F16" s="994"/>
      <c r="G16" s="994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4"/>
      <c r="C17" s="994"/>
      <c r="D17" s="994"/>
      <c r="E17" s="994"/>
      <c r="F17" s="994"/>
      <c r="G17" s="994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1" t="s">
        <v>6</v>
      </c>
      <c r="C19" s="1021"/>
      <c r="D19" s="1021"/>
      <c r="E19" s="1021"/>
      <c r="F19" s="1021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3.7974999999999995E-2</v>
      </c>
      <c r="H25" s="403">
        <f>C25*IAAS_vcpu_EUR+D25*IAAS_ram_EUR+E25*IAAS_ssd_EUR</f>
        <v>27.341999999999999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4.5461111111111112E-2</v>
      </c>
      <c r="H26" s="404">
        <f>C26*IAAS_vcpu_EUR+D26*IAAS_ram_EUR+E26*IAAS_ssd_EUR</f>
        <v>32.731999999999999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7.1322222222222231E-2</v>
      </c>
      <c r="H27" s="403">
        <f t="shared" ref="H27:H36" si="3">C27*IAAS_vcpu_EUR+D27*IAAS_ram_EUR+E27*IAAS_ssd_EUR</f>
        <v>51.352000000000004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0.12304444444444444</v>
      </c>
      <c r="H28" s="404">
        <f t="shared" si="3"/>
        <v>88.591999999999999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0.22648888888888891</v>
      </c>
      <c r="H29" s="403">
        <f t="shared" si="3"/>
        <v>163.072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0.43337777777777781</v>
      </c>
      <c r="H30" s="404">
        <f t="shared" si="3"/>
        <v>312.03200000000004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6.0433333333333332E-2</v>
      </c>
      <c r="H31" s="403">
        <f t="shared" si="3"/>
        <v>43.512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0.10126666666666667</v>
      </c>
      <c r="H32" s="404">
        <f t="shared" si="3"/>
        <v>72.912000000000006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0.18293333333333336</v>
      </c>
      <c r="H33" s="403">
        <f t="shared" si="3"/>
        <v>131.71200000000002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0.34626666666666667</v>
      </c>
      <c r="H34" s="404">
        <f t="shared" ref="H34" si="5">C34*IAAS_vcpu_EUR+D34*IAAS_ram_EUR+E34*IAAS_ssd_EUR</f>
        <v>249.31200000000001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0.67293333333333338</v>
      </c>
      <c r="H35" s="403">
        <f>C35*IAAS_vcpu_EUR+D35*IAAS_ram_EUR+E35*IAAS_ssd_EUR</f>
        <v>484.51200000000006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1.3262666666666667</v>
      </c>
      <c r="H36" s="404">
        <f t="shared" si="3"/>
        <v>954.91200000000003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2.6329333333333338</v>
      </c>
      <c r="H37" s="403">
        <f>C37*IAAS_vcpu_EUR+D37*IAAS_ram_EUR+E37*IAAS_ssd_EUR</f>
        <v>1895.7120000000002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1.9736111111111114E-2</v>
      </c>
      <c r="H43" s="409">
        <f t="shared" ref="H43:H65" si="7">C43*IAAS_vcpu_EUR+D43*IAAS_ram_EUR+E43*IAAS_nvme_EUR</f>
        <v>14.21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2.8583333333333336E-2</v>
      </c>
      <c r="H44" s="408">
        <f t="shared" si="7"/>
        <v>20.580000000000002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8.5750000000000007E-2</v>
      </c>
      <c r="H45" s="409">
        <f t="shared" si="7"/>
        <v>61.74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0.13747222222222222</v>
      </c>
      <c r="H46" s="408">
        <f t="shared" si="7"/>
        <v>98.98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0.24091666666666667</v>
      </c>
      <c r="H47" s="409">
        <f t="shared" si="7"/>
        <v>173.46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0.44780555555555557</v>
      </c>
      <c r="H48" s="408">
        <f t="shared" si="7"/>
        <v>322.42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0.48183333333333334</v>
      </c>
      <c r="H49" s="409">
        <f t="shared" si="7"/>
        <v>346.92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0.54988888888888887</v>
      </c>
      <c r="H50" s="408">
        <f t="shared" si="7"/>
        <v>395.92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0.86158333333333337</v>
      </c>
      <c r="H51" s="409">
        <f t="shared" si="7"/>
        <v>620.34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0.89561111111111114</v>
      </c>
      <c r="H52" s="408">
        <f t="shared" si="7"/>
        <v>644.84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0.96366666666666667</v>
      </c>
      <c r="H53" s="409">
        <f t="shared" si="7"/>
        <v>693.84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4.3555555555555563E-2</v>
      </c>
      <c r="H54" s="408">
        <f t="shared" si="7"/>
        <v>31.360000000000003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0.11569444444444446</v>
      </c>
      <c r="H55" s="409">
        <f t="shared" si="7"/>
        <v>83.300000000000011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0.19736111111111115</v>
      </c>
      <c r="H56" s="408">
        <f t="shared" si="7"/>
        <v>142.10000000000002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0.36069444444444448</v>
      </c>
      <c r="H57" s="409">
        <f t="shared" si="7"/>
        <v>259.70000000000005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0.39472222222222231</v>
      </c>
      <c r="H58" s="408">
        <f t="shared" si="7"/>
        <v>284.20000000000005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0.46277777777777784</v>
      </c>
      <c r="H59" s="409">
        <f t="shared" si="7"/>
        <v>333.20000000000005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0.6873611111111112</v>
      </c>
      <c r="H60" s="408">
        <f t="shared" si="7"/>
        <v>494.90000000000003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0.72138888888888897</v>
      </c>
      <c r="H61" s="409">
        <f t="shared" si="7"/>
        <v>519.40000000000009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0.78944444444444462</v>
      </c>
      <c r="H62" s="408">
        <f t="shared" ref="H62:H63" si="11">C62*IAAS_vcpu_EUR+D62*IAAS_ram_EUR+E62*IAAS_nvme_EUR</f>
        <v>568.40000000000009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1.3406944444444446</v>
      </c>
      <c r="H63" s="409">
        <f t="shared" si="11"/>
        <v>965.30000000000007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1.3747222222222224</v>
      </c>
      <c r="H64" s="408">
        <f t="shared" si="7"/>
        <v>989.80000000000007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1.4427777777777779</v>
      </c>
      <c r="H65" s="409">
        <f t="shared" si="7"/>
        <v>1038.8000000000002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2.7494444444444448</v>
      </c>
      <c r="H66" s="408">
        <f t="shared" ref="H66" si="13">C66*IAAS_vcpu_EUR+D66*IAAS_ram_EUR+E66*IAAS_nvme_EUR</f>
        <v>1979.6000000000001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0.94597222222222221</v>
      </c>
      <c r="H72" s="409">
        <f>C72*IAAS_vcpu_EUR+D72*IAAS_ram_EUR+E72*IAAS_nvme_EUR+F72*IAAS_gpu_EUR</f>
        <v>681.1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1.8919444444444444</v>
      </c>
      <c r="H73" s="408">
        <f>C73*IAAS_vcpu_EUR+D73*IAAS_ram_EUR+E73*IAAS_nvme_EUR+F73*IAAS_gpu_EUR</f>
        <v>1362.2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3.7838888888888889</v>
      </c>
      <c r="H74" s="409">
        <f>C74*IAAS_vcpu_EUR+D74*IAAS_ram_EUR+E74*IAAS_nvme_EUR+F74*IAAS_gpu_EUR</f>
        <v>2724.4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5.9344444444444449</v>
      </c>
      <c r="H75" s="408">
        <f>C75*IAAS_vcpu_EUR+D75*IAAS_ram_EUR+E75*IAAS_nvme_EUR+F75*IAAS_gpu_EUR</f>
        <v>4272.8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0.93100000000000005</v>
      </c>
      <c r="H81" s="409">
        <f>INSTANCE_p1.2xlarge.16d_EUR</f>
        <v>670.32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1.8620000000000001</v>
      </c>
      <c r="H82" s="408">
        <f>INSTANCE_p1.4xlarge.16d_EUR</f>
        <v>1340.64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3.7240000000000002</v>
      </c>
      <c r="H83" s="411">
        <f>INSTANCE_p1.8xlarge.32d_EUR</f>
        <v>2681.28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3" t="s">
        <v>65</v>
      </c>
      <c r="G88" s="1013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1.6333333333333334E-4</v>
      </c>
      <c r="F89" s="1026">
        <f>VOLUME_large_EUR</f>
        <v>0.1176</v>
      </c>
      <c r="G89" s="1026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4.8999999999999998E-4</v>
      </c>
      <c r="F90" s="1042">
        <f>VOLUME_fast_EUR</f>
        <v>0.3528</v>
      </c>
      <c r="G90" s="1042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567"/>
      <c r="O95" s="168"/>
    </row>
    <row r="96" spans="2:23" s="169" customFormat="1" ht="2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567"/>
      <c r="O96" s="168"/>
    </row>
    <row r="97" spans="2:22" s="169" customFormat="1" ht="2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567"/>
      <c r="O97" s="168"/>
    </row>
    <row r="98" spans="2:22" s="169" customFormat="1" ht="25" customHeight="1">
      <c r="B98" s="1043" t="s">
        <v>73</v>
      </c>
      <c r="C98" s="1043"/>
      <c r="D98" s="1043"/>
      <c r="E98" s="1043"/>
      <c r="F98" s="1043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1" t="s">
        <v>74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3" t="s">
        <v>76</v>
      </c>
      <c r="E102" s="1013"/>
      <c r="F102" s="1013"/>
      <c r="G102" s="1013"/>
      <c r="H102" s="266" t="s">
        <v>75</v>
      </c>
      <c r="I102" s="265"/>
      <c r="J102" s="1013"/>
      <c r="K102" s="1013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34.300000000000004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4">
        <f>S3_storage.50_EUR</f>
        <v>34.300000000000004</v>
      </c>
      <c r="E104" s="1024"/>
      <c r="F104" s="1025"/>
      <c r="G104" s="1025"/>
      <c r="H104" s="1025"/>
      <c r="I104" s="1025"/>
      <c r="J104" s="1025"/>
      <c r="K104" s="1025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2">
        <f>S3_storage.100_EUR</f>
        <v>26.46</v>
      </c>
      <c r="E105" s="1012"/>
      <c r="F105" s="1017"/>
      <c r="G105" s="1017"/>
      <c r="H105" s="1017"/>
      <c r="I105" s="1017"/>
      <c r="J105" s="1017"/>
      <c r="K105" s="1017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6">
        <f>S3_storage.500_EUR</f>
        <v>19.600000000000001</v>
      </c>
      <c r="E106" s="1016"/>
      <c r="F106" s="1011"/>
      <c r="G106" s="1011"/>
      <c r="H106" s="1011"/>
      <c r="I106" s="1011"/>
      <c r="J106" s="1011"/>
      <c r="K106" s="1011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2">
        <f>S3_storage.1000_EUR</f>
        <v>18.13</v>
      </c>
      <c r="E107" s="1012"/>
      <c r="F107" s="1017"/>
      <c r="G107" s="1017"/>
      <c r="H107" s="1017"/>
      <c r="I107" s="1017"/>
      <c r="J107" s="1017"/>
      <c r="K107" s="1017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8" t="str">
        <f>S3_storage.quote_EUR</f>
        <v>Request a quote</v>
      </c>
      <c r="E108" s="1018"/>
      <c r="F108" s="1019"/>
      <c r="G108" s="1019"/>
      <c r="H108" s="1019"/>
      <c r="I108" s="1019"/>
      <c r="J108" s="1019"/>
      <c r="K108" s="1019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3" t="s">
        <v>76</v>
      </c>
      <c r="E111" s="1023"/>
      <c r="F111" s="1013"/>
      <c r="G111" s="1013"/>
      <c r="H111" s="266" t="s">
        <v>75</v>
      </c>
      <c r="I111" s="266"/>
      <c r="J111" s="1013"/>
      <c r="K111" s="1013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34.300000000000004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4">
        <f>S3_archive.50_EUR</f>
        <v>34.300000000000004</v>
      </c>
      <c r="E113" s="1024"/>
      <c r="F113" s="1025"/>
      <c r="G113" s="1025"/>
      <c r="H113" s="1025"/>
      <c r="I113" s="1025"/>
      <c r="J113" s="1025"/>
      <c r="K113" s="1025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2">
        <f>S3_archive.100_EUR</f>
        <v>26.46</v>
      </c>
      <c r="E114" s="1012"/>
      <c r="F114" s="1017"/>
      <c r="G114" s="1017"/>
      <c r="H114" s="1017"/>
      <c r="I114" s="1017"/>
      <c r="J114" s="1017"/>
      <c r="K114" s="1017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6">
        <f>S3_archive.500_EUR</f>
        <v>19.600000000000001</v>
      </c>
      <c r="E115" s="1016"/>
      <c r="F115" s="1011"/>
      <c r="G115" s="1011"/>
      <c r="H115" s="1011"/>
      <c r="I115" s="1011"/>
      <c r="J115" s="1011"/>
      <c r="K115" s="1011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2">
        <f>S3_archive.1000_EUR</f>
        <v>18.13</v>
      </c>
      <c r="E116" s="1012"/>
      <c r="F116" s="1017"/>
      <c r="G116" s="1017"/>
      <c r="H116" s="1017"/>
      <c r="I116" s="1017"/>
      <c r="J116" s="1017"/>
      <c r="K116" s="1017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8" t="str">
        <f>S3_archive.quote_EUR</f>
        <v>Request a quote</v>
      </c>
      <c r="E117" s="1018"/>
      <c r="F117" s="1019"/>
      <c r="G117" s="1019"/>
      <c r="H117" s="1019"/>
      <c r="I117" s="1019"/>
      <c r="J117" s="1019"/>
      <c r="K117" s="1019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4" t="s">
        <v>86</v>
      </c>
      <c r="C122" s="994"/>
      <c r="D122" s="994"/>
      <c r="E122" s="994"/>
      <c r="F122" s="994"/>
      <c r="G122" s="994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4"/>
      <c r="C123" s="994"/>
      <c r="D123" s="994"/>
      <c r="E123" s="994"/>
      <c r="F123" s="994"/>
      <c r="G123" s="994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4"/>
      <c r="C124" s="994"/>
      <c r="D124" s="994"/>
      <c r="E124" s="994"/>
      <c r="F124" s="994"/>
      <c r="G124" s="994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5" t="s">
        <v>87</v>
      </c>
      <c r="C125" s="1015"/>
      <c r="D125" s="1015"/>
      <c r="E125" s="1015"/>
      <c r="F125" s="1015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5" t="s">
        <v>6</v>
      </c>
      <c r="C126" s="995"/>
      <c r="D126" s="995"/>
      <c r="E126" s="995"/>
      <c r="F126" s="995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3" t="s">
        <v>89</v>
      </c>
      <c r="G129" s="1013"/>
      <c r="H129" s="266" t="s">
        <v>90</v>
      </c>
      <c r="I129" s="265"/>
      <c r="J129" s="1027" t="s">
        <v>91</v>
      </c>
      <c r="K129" s="1027"/>
      <c r="L129" s="535"/>
      <c r="M129" s="577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0.24010000000000004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8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539</v>
      </c>
      <c r="E131" s="32"/>
      <c r="F131" s="1033">
        <f>BAAS_small_EUR</f>
        <v>0.17150000000000001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931</v>
      </c>
      <c r="E132" s="35"/>
      <c r="F132" s="1038">
        <f>BAAS_large_EUR</f>
        <v>9.0160000000000004E-2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4" t="s">
        <v>97</v>
      </c>
      <c r="C135" s="1014"/>
      <c r="D135" s="1014"/>
      <c r="E135" s="1014"/>
      <c r="F135" s="1014"/>
      <c r="G135" s="1014"/>
      <c r="H135" s="1014"/>
      <c r="I135" s="1014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4" t="s">
        <v>98</v>
      </c>
      <c r="C136" s="1014"/>
      <c r="D136" s="1014"/>
      <c r="E136" s="1014"/>
      <c r="F136" s="1014"/>
      <c r="G136" s="1014"/>
      <c r="H136" s="1014"/>
      <c r="I136" s="1014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4" t="s">
        <v>99</v>
      </c>
      <c r="C137" s="1014"/>
      <c r="D137" s="1014"/>
      <c r="E137" s="1014"/>
      <c r="F137" s="1014"/>
      <c r="G137" s="1014"/>
      <c r="H137" s="1014"/>
      <c r="I137" s="1014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4" t="s">
        <v>418</v>
      </c>
      <c r="C138" s="1014"/>
      <c r="D138" s="1014"/>
      <c r="E138" s="1014"/>
      <c r="F138" s="1014"/>
      <c r="G138" s="1014"/>
      <c r="H138" s="1014"/>
      <c r="I138" s="1014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4" t="s">
        <v>100</v>
      </c>
      <c r="C143" s="994"/>
      <c r="D143" s="994"/>
      <c r="E143" s="994"/>
      <c r="F143" s="994"/>
      <c r="G143" s="994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4"/>
      <c r="C144" s="994"/>
      <c r="D144" s="994"/>
      <c r="E144" s="994"/>
      <c r="F144" s="994"/>
      <c r="G144" s="994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4"/>
      <c r="C145" s="994"/>
      <c r="D145" s="994"/>
      <c r="E145" s="994"/>
      <c r="F145" s="994"/>
      <c r="G145" s="994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5" t="s">
        <v>6</v>
      </c>
      <c r="C146" s="995"/>
      <c r="D146" s="995"/>
      <c r="E146" s="995"/>
      <c r="F146" s="995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6"/>
      <c r="C147" s="996"/>
      <c r="D147" s="996"/>
      <c r="E147" s="996"/>
      <c r="F147" s="996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2" t="s">
        <v>14</v>
      </c>
      <c r="M150" s="99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3">
        <f>NET_publicv4_EUR</f>
        <v>2.4500000000000002</v>
      </c>
      <c r="M151" s="99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5">
        <f>NET_publicv6_EUR</f>
        <v>0</v>
      </c>
      <c r="M152" s="104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6">
        <f>NET_ingress_EUR</f>
        <v>0</v>
      </c>
      <c r="M153" s="104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5">
        <f>NET_egress_EUR</f>
        <v>2.4500000000000001E-2</v>
      </c>
      <c r="M154" s="104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7" t="str">
        <f>NET_mgn.slb_EUR</f>
        <v>Request a quote</v>
      </c>
      <c r="M155" s="100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5">
        <f>NET_rdns_EUR</f>
        <v>0</v>
      </c>
      <c r="M156" s="104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7">
        <f>NET_byoip_EUR</f>
        <v>0</v>
      </c>
      <c r="M157" s="100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4"/>
      <c r="M158" s="104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1"/>
      <c r="M159" s="99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2" t="s">
        <v>14</v>
      </c>
      <c r="M160" s="99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3">
        <f>SW_win.ser.201X_EUR</f>
        <v>7.6440000000000001</v>
      </c>
      <c r="M161" s="99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0">
        <f>SW_win.ser.201X_EUR</f>
        <v>7.6440000000000001</v>
      </c>
      <c r="M162" s="105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7">
        <f>SW_ms.sql.ser_EUR</f>
        <v>146.804</v>
      </c>
      <c r="M163" s="100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1" t="str">
        <f>SW_stackn_EUR</f>
        <v>Request a quote</v>
      </c>
      <c r="M164" s="105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2" t="str">
        <f>SW_nextcloud_EUR</f>
        <v>Request a quote</v>
      </c>
      <c r="M165" s="105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1" t="str">
        <f>SW_suse_EUR</f>
        <v>Request a quote</v>
      </c>
      <c r="M166" s="105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2" t="str">
        <f>SW_cluster.control_EUR</f>
        <v>3x instance price</v>
      </c>
      <c r="M167" s="105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8">
        <f>SW_backup.ninja_EUR</f>
        <v>39.200000000000003</v>
      </c>
      <c r="M168" s="100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47"/>
      <c r="M170" s="104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1"/>
      <c r="M171" s="99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2" t="s">
        <v>14</v>
      </c>
      <c r="M172" s="992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7">
        <f>PAAS_man.kubernetes24_EUR</f>
        <v>2352</v>
      </c>
      <c r="M173" s="1057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8">
        <f>PAAS_man.kubernetes8_EUR</f>
        <v>1470</v>
      </c>
      <c r="M174" s="105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8" t="str">
        <f>PAAS_man.elasticsearch_EUR</f>
        <v>Requests for quotation</v>
      </c>
      <c r="M175" s="104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8" t="str">
        <f>PAAS_man.redis_EUR</f>
        <v>Requests for quotation</v>
      </c>
      <c r="M176" s="105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8" t="str">
        <f>PAAS_man.nats_EUR</f>
        <v>Requests for quotation</v>
      </c>
      <c r="M177" s="104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49" t="str">
        <f>PAAS_man.mariadb_EUR</f>
        <v>Requests for quotation</v>
      </c>
      <c r="M178" s="104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5"/>
      <c r="M180" s="105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6"/>
      <c r="M181" s="1056"/>
      <c r="N181" s="189"/>
      <c r="O181" s="205"/>
      <c r="P181" s="180"/>
      <c r="Q181" s="180"/>
    </row>
    <row r="182" spans="2:19" s="169" customFormat="1" ht="25" customHeight="1">
      <c r="B182" s="994" t="s">
        <v>151</v>
      </c>
      <c r="C182" s="994"/>
      <c r="D182" s="994"/>
      <c r="E182" s="994"/>
      <c r="F182" s="994"/>
      <c r="G182" s="994"/>
      <c r="H182" s="335"/>
      <c r="J182" s="178"/>
      <c r="L182" s="1000"/>
      <c r="M182" s="1000"/>
      <c r="N182" s="189"/>
      <c r="O182" s="205"/>
    </row>
    <row r="183" spans="2:19" s="169" customFormat="1" ht="25" customHeight="1">
      <c r="B183" s="994"/>
      <c r="C183" s="994"/>
      <c r="D183" s="994"/>
      <c r="E183" s="994"/>
      <c r="F183" s="994"/>
      <c r="G183" s="994"/>
      <c r="H183" s="335"/>
      <c r="J183" s="178"/>
      <c r="L183" s="1000"/>
      <c r="M183" s="1000"/>
      <c r="N183" s="189"/>
      <c r="O183" s="205"/>
    </row>
    <row r="184" spans="2:19" s="169" customFormat="1" ht="25" customHeight="1">
      <c r="B184" s="994"/>
      <c r="C184" s="994"/>
      <c r="D184" s="994"/>
      <c r="E184" s="994"/>
      <c r="F184" s="994"/>
      <c r="G184" s="994"/>
      <c r="H184" s="335"/>
      <c r="J184" s="178"/>
      <c r="L184" s="1000"/>
      <c r="M184" s="1000"/>
      <c r="N184" s="189"/>
      <c r="O184" s="205"/>
    </row>
    <row r="185" spans="2:19" s="169" customFormat="1" ht="25" customHeight="1">
      <c r="B185" s="995" t="s">
        <v>6</v>
      </c>
      <c r="C185" s="995"/>
      <c r="D185" s="995"/>
      <c r="E185" s="995"/>
      <c r="F185" s="995"/>
      <c r="H185" s="335"/>
      <c r="J185" s="178"/>
      <c r="L185" s="1000"/>
      <c r="M185" s="1000"/>
      <c r="N185" s="189"/>
      <c r="O185" s="205"/>
    </row>
    <row r="186" spans="2:19" s="169" customFormat="1" ht="25" customHeight="1">
      <c r="B186" s="996"/>
      <c r="C186" s="996"/>
      <c r="D186" s="996"/>
      <c r="E186" s="996"/>
      <c r="F186" s="996"/>
      <c r="G186" s="182"/>
      <c r="H186" s="183"/>
      <c r="I186" s="182"/>
      <c r="J186" s="184"/>
      <c r="K186" s="182"/>
      <c r="L186" s="1001"/>
      <c r="M186" s="100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1"/>
      <c r="M187" s="100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2"/>
      <c r="M188" s="100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2" t="s">
        <v>14</v>
      </c>
      <c r="M189" s="99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3">
        <v>0</v>
      </c>
      <c r="M190" s="100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3" t="s">
        <v>158</v>
      </c>
      <c r="M191" s="105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4" t="s">
        <v>162</v>
      </c>
      <c r="M192" s="105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1"/>
      <c r="M195" s="99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2" t="s">
        <v>14</v>
      </c>
      <c r="M196" s="99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3">
        <f>PS_consult.jun_EUR</f>
        <v>110.446</v>
      </c>
      <c r="M197" s="99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0">
        <f>PS_consult.sen_EUR</f>
        <v>134.65200000000002</v>
      </c>
      <c r="M198" s="105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7">
        <f>PS_cloudarch.jun_EUR</f>
        <v>125.146</v>
      </c>
      <c r="M199" s="100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0">
        <f>PS_cloudarch.sen_EUR</f>
        <v>134.65200000000002</v>
      </c>
      <c r="M200" s="105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7">
        <f>PS_pm.jun_EUR</f>
        <v>111.622</v>
      </c>
      <c r="M201" s="100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8">
        <f>PS_pm.sen_EUR</f>
        <v>134.65200000000002</v>
      </c>
      <c r="M202" s="100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1"/>
      <c r="M205" s="99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2" t="s">
        <v>179</v>
      </c>
      <c r="M206" s="99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3" t="s">
        <v>162</v>
      </c>
      <c r="M207" s="100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4" t="s">
        <v>162</v>
      </c>
      <c r="M208" s="100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5" t="s">
        <v>162</v>
      </c>
      <c r="M209" s="100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6" t="s">
        <v>162</v>
      </c>
      <c r="M210" s="100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7" t="s">
        <v>191</v>
      </c>
      <c r="C217" s="997"/>
      <c r="D217" s="997"/>
      <c r="E217" s="997"/>
      <c r="F217" s="997"/>
      <c r="G217" s="997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7"/>
      <c r="C218" s="997"/>
      <c r="D218" s="997"/>
      <c r="E218" s="997"/>
      <c r="F218" s="997"/>
      <c r="G218" s="997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7"/>
      <c r="C219" s="997"/>
      <c r="D219" s="997"/>
      <c r="E219" s="997"/>
      <c r="F219" s="997"/>
      <c r="G219" s="997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8" t="s">
        <v>6</v>
      </c>
      <c r="C220" s="998"/>
      <c r="D220" s="998"/>
      <c r="E220" s="998"/>
      <c r="F220" s="998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99" t="str">
        <f>SUM(E67)&amp;" GB NVME-Disk"</f>
        <v>0 GB NVME-Disk</v>
      </c>
      <c r="G227" s="999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6" customWidth="1"/>
    <col min="12" max="12" width="14.83203125" style="1" customWidth="1"/>
    <col min="13" max="13" width="14.83203125" style="853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6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6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60"/>
      <c r="L3" s="669"/>
      <c r="M3" s="670"/>
    </row>
    <row r="4" spans="1:26" ht="25" customHeight="1">
      <c r="A4" s="2"/>
      <c r="B4" s="981"/>
      <c r="C4" s="981"/>
      <c r="D4" s="2"/>
      <c r="E4" s="2"/>
      <c r="F4" s="2"/>
      <c r="G4" s="2"/>
      <c r="H4" s="2"/>
      <c r="I4" s="2"/>
      <c r="J4" s="2"/>
      <c r="K4" s="860"/>
      <c r="L4" s="669"/>
      <c r="M4" s="670"/>
    </row>
    <row r="5" spans="1:26" ht="25" customHeight="1">
      <c r="A5" s="2"/>
      <c r="B5" s="633" t="s">
        <v>669</v>
      </c>
      <c r="C5" s="65"/>
      <c r="D5" s="2"/>
      <c r="E5" s="2"/>
      <c r="F5" s="2"/>
      <c r="G5" s="2"/>
      <c r="H5" s="2"/>
      <c r="I5" s="2"/>
      <c r="J5" s="2"/>
      <c r="K5" s="86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6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6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6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60"/>
      <c r="L9" s="669"/>
      <c r="M9" s="670"/>
    </row>
    <row r="10" spans="1:26" ht="25" customHeight="1">
      <c r="A10" s="2"/>
      <c r="B10" s="965" t="s">
        <v>3</v>
      </c>
      <c r="C10" s="402"/>
      <c r="D10" s="2"/>
      <c r="E10" s="2"/>
      <c r="F10" s="2"/>
      <c r="G10" s="2"/>
      <c r="H10" s="2"/>
      <c r="I10" s="2"/>
      <c r="J10" s="2"/>
      <c r="K10" s="86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1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2"/>
      <c r="L12" s="677"/>
      <c r="M12" s="674"/>
    </row>
    <row r="13" spans="1:26" s="4" customFormat="1" ht="25" customHeight="1">
      <c r="B13" s="638"/>
      <c r="G13" s="678"/>
      <c r="H13" s="678"/>
      <c r="I13" s="679"/>
      <c r="K13" s="863"/>
      <c r="L13" s="680"/>
      <c r="M13" s="674"/>
    </row>
    <row r="14" spans="1:26" s="4" customFormat="1" ht="25" customHeight="1">
      <c r="B14" s="638"/>
      <c r="G14" s="678"/>
      <c r="H14" s="678"/>
      <c r="I14" s="679"/>
      <c r="K14" s="863"/>
      <c r="L14" s="680"/>
      <c r="M14" s="674"/>
    </row>
    <row r="15" spans="1:26" s="4" customFormat="1" ht="25" customHeight="1">
      <c r="B15" s="966" t="s">
        <v>4</v>
      </c>
      <c r="C15" s="966"/>
      <c r="D15" s="966"/>
      <c r="E15" s="966"/>
      <c r="F15" s="966"/>
      <c r="G15" s="966"/>
      <c r="H15" s="679"/>
      <c r="J15" s="681"/>
      <c r="K15" s="863"/>
      <c r="L15" s="680"/>
      <c r="M15" s="674"/>
      <c r="S15" s="682"/>
      <c r="X15" s="682"/>
      <c r="Y15" s="682"/>
      <c r="Z15" s="682"/>
    </row>
    <row r="16" spans="1:26" s="4" customFormat="1" ht="25" customHeight="1">
      <c r="B16" s="966"/>
      <c r="C16" s="966"/>
      <c r="D16" s="966"/>
      <c r="E16" s="966"/>
      <c r="F16" s="966"/>
      <c r="G16" s="966"/>
      <c r="H16" s="679"/>
      <c r="J16" s="681"/>
      <c r="K16" s="863"/>
      <c r="L16" s="680"/>
      <c r="M16" s="674"/>
      <c r="S16" s="682"/>
      <c r="X16" s="682"/>
      <c r="Y16" s="682"/>
      <c r="Z16" s="682"/>
    </row>
    <row r="17" spans="2:26" s="4" customFormat="1" ht="25" customHeight="1">
      <c r="B17" s="966"/>
      <c r="C17" s="966"/>
      <c r="D17" s="966"/>
      <c r="E17" s="966"/>
      <c r="F17" s="966"/>
      <c r="G17" s="966"/>
      <c r="H17" s="679"/>
      <c r="J17" s="681"/>
      <c r="K17" s="863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3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2" t="s">
        <v>608</v>
      </c>
      <c r="C19" s="982"/>
      <c r="D19" s="982"/>
      <c r="E19" s="982"/>
      <c r="F19" s="982"/>
      <c r="G19" s="684"/>
      <c r="H19" s="685"/>
      <c r="J19" s="686"/>
      <c r="K19" s="864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4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4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4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5"/>
      <c r="M23" s="692"/>
      <c r="P23" s="693"/>
      <c r="Q23" s="693"/>
      <c r="R23" s="694"/>
    </row>
    <row r="24" spans="2:26" ht="25" customHeight="1">
      <c r="B24" s="983" t="s">
        <v>648</v>
      </c>
      <c r="C24" s="983"/>
      <c r="D24" s="983"/>
      <c r="E24" s="983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7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8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9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8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9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8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9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8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9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8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9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8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9">
        <f t="shared" si="2"/>
        <v>0</v>
      </c>
      <c r="M37" s="702"/>
      <c r="P37" s="689"/>
      <c r="R37" s="689"/>
    </row>
    <row r="38" spans="2:18" s="904" customFormat="1" ht="25" customHeight="1">
      <c r="B38" s="900" t="s">
        <v>222</v>
      </c>
      <c r="C38" s="901" t="str" cm="1">
        <f t="array" ref="C38">SUM(C26:C37*I26:I37)&amp;" st"</f>
        <v>0 st</v>
      </c>
      <c r="D38" s="901" t="str" cm="1">
        <f t="array" ref="D38">SUM(D26:D37*I26:I37)&amp;" GB"</f>
        <v>0 GB</v>
      </c>
      <c r="E38" s="902" t="str" cm="1">
        <f t="array" ref="E38">SUM(E26:E37*I26:I37)&amp;" GB"</f>
        <v>0 GB</v>
      </c>
      <c r="F38" s="901"/>
      <c r="G38" s="901"/>
      <c r="H38" s="901"/>
      <c r="I38" s="901" t="str">
        <f>SUM(I26:I37)&amp;" st"</f>
        <v>0 st</v>
      </c>
      <c r="J38" s="901"/>
      <c r="K38" s="903">
        <f>SUM(K26:K37)</f>
        <v>0</v>
      </c>
      <c r="M38" s="905"/>
      <c r="P38" s="906"/>
      <c r="R38" s="906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70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70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1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2"/>
      <c r="M42" s="716"/>
    </row>
    <row r="43" spans="2:18" ht="25" customHeight="1">
      <c r="B43" s="983" t="s">
        <v>654</v>
      </c>
      <c r="C43" s="983"/>
      <c r="D43" s="983"/>
      <c r="E43" s="983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7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8">
        <f t="shared" ref="K45:K54" si="5">ROUNDUP(I45*G45,2)</f>
        <v>0</v>
      </c>
      <c r="M45" s="702"/>
      <c r="N45" s="721"/>
      <c r="O45" s="722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9">
        <f t="shared" si="5"/>
        <v>0</v>
      </c>
      <c r="L46" s="723"/>
      <c r="M46" s="702"/>
      <c r="N46" s="721"/>
      <c r="O46" s="722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8">
        <f t="shared" si="5"/>
        <v>0</v>
      </c>
      <c r="L47" s="723"/>
      <c r="M47" s="702"/>
      <c r="N47" s="721"/>
      <c r="O47" s="722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9">
        <f t="shared" si="5"/>
        <v>0</v>
      </c>
      <c r="L48" s="723"/>
      <c r="M48" s="702"/>
      <c r="N48" s="721"/>
      <c r="O48" s="958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8">
        <f t="shared" si="5"/>
        <v>0</v>
      </c>
      <c r="L49" s="723"/>
      <c r="M49" s="702"/>
      <c r="N49" s="721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9">
        <f t="shared" si="5"/>
        <v>0</v>
      </c>
      <c r="L50" s="723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8">
        <f t="shared" si="5"/>
        <v>0</v>
      </c>
      <c r="L51" s="723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9">
        <f t="shared" si="5"/>
        <v>0</v>
      </c>
      <c r="L52" s="723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8">
        <f t="shared" si="5"/>
        <v>0</v>
      </c>
      <c r="L53" s="723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9">
        <f t="shared" si="5"/>
        <v>0</v>
      </c>
      <c r="L54" s="723"/>
      <c r="M54" s="702"/>
      <c r="P54" s="689"/>
      <c r="Q54" s="689"/>
      <c r="R54" s="689"/>
    </row>
    <row r="55" spans="1:20" s="904" customFormat="1" ht="25" customHeight="1">
      <c r="B55" s="900" t="s">
        <v>222</v>
      </c>
      <c r="C55" s="901" t="str" cm="1">
        <f t="array" ref="C55">SUM(b2_list_vCPU*b2_list_Antal_instanser)&amp;" st"</f>
        <v>0 st</v>
      </c>
      <c r="D55" s="901" t="str" cm="1">
        <f t="array" ref="D55">SUM(b2_list_ram*b2_list_vCPU)&amp;" GB"</f>
        <v>0 GB</v>
      </c>
      <c r="E55" s="907" t="s">
        <v>94</v>
      </c>
      <c r="F55" s="901"/>
      <c r="G55" s="901"/>
      <c r="H55" s="901"/>
      <c r="I55" s="901" t="str">
        <f>SUM(I45:I54)&amp;" st"</f>
        <v>0 st</v>
      </c>
      <c r="J55" s="901"/>
      <c r="K55" s="903">
        <f>SUM(K45:K54)</f>
        <v>0</v>
      </c>
      <c r="M55" s="905"/>
      <c r="P55" s="906"/>
      <c r="R55" s="906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70"/>
      <c r="M56" s="670"/>
      <c r="P56" s="689"/>
      <c r="Q56" s="689"/>
      <c r="R56" s="698"/>
    </row>
    <row r="57" spans="1:20" s="724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3"/>
      <c r="L57" s="725"/>
      <c r="M57" s="726"/>
      <c r="R57" s="727"/>
      <c r="S57" s="727"/>
      <c r="T57" s="728"/>
    </row>
    <row r="58" spans="1:20" ht="25" hidden="1" customHeight="1">
      <c r="B58" s="984" t="s">
        <v>655</v>
      </c>
      <c r="C58" s="984"/>
      <c r="D58" s="984"/>
      <c r="E58" s="984"/>
      <c r="M58" s="695"/>
    </row>
    <row r="59" spans="1:20" s="729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7" t="s">
        <v>215</v>
      </c>
      <c r="L59" s="730"/>
      <c r="M59" s="731"/>
      <c r="Q59" s="732"/>
      <c r="R59" s="732"/>
      <c r="S59" s="733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4">
        <f t="shared" ref="G60:G63" si="6">H60/720</f>
        <v>9.6527777777777786</v>
      </c>
      <c r="H60" s="700">
        <f>C60*IAAS_vcpu_SEK+D60*IAAS_ram_SEK+E60*IAAS_nvme_SEK+F60*IAAS_gpu_SEK</f>
        <v>6950</v>
      </c>
      <c r="I60" s="957"/>
      <c r="J60" s="14"/>
      <c r="K60" s="868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5">
        <f t="shared" si="6"/>
        <v>19.305555555555557</v>
      </c>
      <c r="H61" s="704">
        <f>C61*IAAS_vcpu_SEK+D61*IAAS_ram_SEK+E61*IAAS_nvme_SEK+F61*IAAS_gpu_SEK</f>
        <v>13900</v>
      </c>
      <c r="I61" s="957"/>
      <c r="J61" s="16"/>
      <c r="K61" s="869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4">
        <f t="shared" si="6"/>
        <v>38.611111111111114</v>
      </c>
      <c r="H62" s="700">
        <f>C62*IAAS_vcpu_SEK+D62*IAAS_ram_SEK+E62*IAAS_nvme_SEK+F62*IAAS_gpu_SEK</f>
        <v>27800</v>
      </c>
      <c r="I62" s="957"/>
      <c r="J62" s="14"/>
      <c r="K62" s="868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5">
        <f t="shared" si="6"/>
        <v>60.555555555555557</v>
      </c>
      <c r="H63" s="704">
        <f>C63*IAAS_vcpu_SEK+D63*IAAS_ram_SEK+E63*IAAS_nvme_SEK+F63*IAAS_gpu_SEK</f>
        <v>43600</v>
      </c>
      <c r="I63" s="957"/>
      <c r="J63" s="16"/>
      <c r="K63" s="869">
        <f>ROUNDUP(I63*H63,2)</f>
        <v>0</v>
      </c>
      <c r="M63" s="702"/>
      <c r="P63" s="689"/>
      <c r="R63" s="689"/>
    </row>
    <row r="64" spans="1:20" s="904" customFormat="1" ht="25" hidden="1" customHeight="1">
      <c r="B64" s="900" t="s">
        <v>222</v>
      </c>
      <c r="C64" s="901" t="str" cm="1">
        <f t="array" ref="C64">SUM(I60:I63*C60:C63)&amp;" st"</f>
        <v>0 st</v>
      </c>
      <c r="D64" s="901" t="str" cm="1">
        <f t="array" ref="D64">SUM(I60:I63*D60:D63)&amp;" GB"</f>
        <v>0 GB</v>
      </c>
      <c r="E64" s="902" t="str" cm="1">
        <f t="array" ref="E64">SUM(I60:I63*E60:E63)&amp;" GB"</f>
        <v>0 GB</v>
      </c>
      <c r="F64" s="902" t="str" cm="1">
        <f t="array" ref="F64">SUM(I60:I63*F60:F63)&amp;" st"</f>
        <v>0 st</v>
      </c>
      <c r="G64" s="901"/>
      <c r="H64" s="901"/>
      <c r="I64" s="901" t="str">
        <f>SUM(I60:I63)&amp;" st"</f>
        <v>0 st</v>
      </c>
      <c r="J64" s="901"/>
      <c r="K64" s="903">
        <f>SUM(K60:K63)</f>
        <v>0</v>
      </c>
      <c r="M64" s="905"/>
      <c r="P64" s="906"/>
      <c r="R64" s="906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4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4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4"/>
      <c r="M67" s="692"/>
      <c r="N67" s="8"/>
      <c r="O67" s="8"/>
      <c r="P67" s="693"/>
      <c r="Q67" s="8"/>
      <c r="R67" s="694"/>
    </row>
    <row r="68" spans="2:20" ht="25" hidden="1" customHeight="1">
      <c r="B68" s="984" t="s">
        <v>655</v>
      </c>
      <c r="C68" s="984"/>
      <c r="D68" s="984"/>
      <c r="E68" s="984"/>
      <c r="M68" s="695"/>
    </row>
    <row r="69" spans="2:20" s="729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7" t="s">
        <v>215</v>
      </c>
      <c r="L69" s="730"/>
      <c r="M69" s="731"/>
      <c r="Q69" s="732"/>
      <c r="R69" s="732"/>
      <c r="S69" s="733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9">
        <f t="shared" ref="F70:F72" si="7">G70/720</f>
        <v>9.5</v>
      </c>
      <c r="G70" s="740">
        <f>INSTANCE_p1.2xlarge.16d_SEK</f>
        <v>6840</v>
      </c>
      <c r="H70" s="14"/>
      <c r="I70" s="957"/>
      <c r="J70" s="14"/>
      <c r="K70" s="868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1">
        <f t="shared" si="7"/>
        <v>19</v>
      </c>
      <c r="G71" s="96">
        <f>INSTANCE_p1.4xlarge.16d_SEK</f>
        <v>13680</v>
      </c>
      <c r="H71" s="16"/>
      <c r="I71" s="957"/>
      <c r="J71" s="16"/>
      <c r="K71" s="869">
        <f>ROUNDUP(I71*G71,2)</f>
        <v>0</v>
      </c>
      <c r="L71" s="8"/>
      <c r="M71" s="702"/>
      <c r="S71" s="689"/>
    </row>
    <row r="72" spans="2:20" s="73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2">
        <f t="shared" si="7"/>
        <v>38</v>
      </c>
      <c r="G72" s="740">
        <f>INSTANCE_p1.8xlarge.32d_SEK</f>
        <v>27360</v>
      </c>
      <c r="H72" s="14"/>
      <c r="I72" s="957"/>
      <c r="J72" s="14"/>
      <c r="K72" s="868">
        <f>ROUNDUP(I72*G72,2)</f>
        <v>0</v>
      </c>
      <c r="L72" s="743"/>
      <c r="M72" s="736"/>
    </row>
    <row r="73" spans="2:20" s="904" customFormat="1" ht="25" hidden="1" customHeight="1">
      <c r="B73" s="900" t="s">
        <v>222</v>
      </c>
      <c r="C73" s="901" t="str" cm="1">
        <f t="array" ref="C73">SUM(I70:I72*C70:C72)&amp;" st"</f>
        <v>0 st</v>
      </c>
      <c r="D73" s="901" t="str" cm="1">
        <f t="array" ref="D73">SUM(I70:I72*D70:D72)&amp;" GB"</f>
        <v>0 GB</v>
      </c>
      <c r="E73" s="902" t="str" cm="1">
        <f t="array" ref="E73">SUM(I70:I72*E70:E72)&amp;" GB"</f>
        <v>0 GB</v>
      </c>
      <c r="F73" s="901"/>
      <c r="G73" s="901"/>
      <c r="H73" s="901"/>
      <c r="I73" s="901" t="str">
        <f>SUM(I70:I72)&amp;" st"</f>
        <v>0 st</v>
      </c>
      <c r="J73" s="901"/>
      <c r="K73" s="903">
        <f>SUM(K70:K72)</f>
        <v>0</v>
      </c>
      <c r="M73" s="905"/>
      <c r="P73" s="906"/>
      <c r="R73" s="906"/>
    </row>
    <row r="74" spans="2:20" ht="25" customHeight="1">
      <c r="B74" s="452"/>
      <c r="C74" s="76"/>
      <c r="D74" s="76"/>
      <c r="E74" s="76"/>
      <c r="F74" s="76"/>
      <c r="G74" s="76"/>
      <c r="H74" s="737"/>
      <c r="I74" s="710"/>
      <c r="J74" s="710"/>
      <c r="K74" s="875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4"/>
      <c r="L75" s="738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4"/>
      <c r="L76" s="738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6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4" t="s">
        <v>612</v>
      </c>
      <c r="J78" s="24"/>
      <c r="K78" s="614" t="s">
        <v>614</v>
      </c>
      <c r="L78" s="720"/>
      <c r="M78" s="745"/>
      <c r="N78" s="720"/>
      <c r="R78" s="747"/>
      <c r="S78" s="747"/>
      <c r="T78" s="748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9">
        <f>VOLUME_large_SEK</f>
        <v>1.2</v>
      </c>
      <c r="H79" s="749"/>
      <c r="I79" s="750"/>
      <c r="J79" s="399"/>
      <c r="K79" s="858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1">
        <f>VOLUME_fast_SEK</f>
        <v>3.6</v>
      </c>
      <c r="H80" s="752"/>
      <c r="I80" s="754"/>
      <c r="J80" s="755"/>
      <c r="K80" s="859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9">
        <f>VOLUME_large_SEK</f>
        <v>1.2</v>
      </c>
      <c r="H81" s="756"/>
      <c r="I81" s="750"/>
      <c r="J81" s="399"/>
      <c r="K81" s="858">
        <f>ROUNDUP(I81*G81,2)</f>
        <v>0</v>
      </c>
      <c r="L81" s="8"/>
      <c r="M81" s="702"/>
    </row>
    <row r="82" spans="2:26" s="904" customFormat="1" ht="25" customHeight="1">
      <c r="B82" s="900" t="s">
        <v>222</v>
      </c>
      <c r="C82" s="901"/>
      <c r="D82" s="901"/>
      <c r="E82" s="901"/>
      <c r="F82" s="901"/>
      <c r="G82" s="901"/>
      <c r="H82" s="901"/>
      <c r="I82" s="901" t="str">
        <f>SUM(I79:I81)&amp;" GB"</f>
        <v>0 GB</v>
      </c>
      <c r="J82" s="901"/>
      <c r="K82" s="903">
        <f>SUM(K79:K81)</f>
        <v>0</v>
      </c>
      <c r="M82" s="905"/>
      <c r="P82" s="906"/>
      <c r="R82" s="906"/>
    </row>
    <row r="83" spans="2:26" ht="25" customHeight="1">
      <c r="B83" s="452"/>
      <c r="C83" s="76"/>
      <c r="D83" s="76"/>
      <c r="E83" s="76"/>
      <c r="F83" s="76"/>
      <c r="G83" s="76"/>
      <c r="H83" s="737"/>
      <c r="I83" s="757"/>
      <c r="J83" s="757"/>
      <c r="K83" s="876"/>
      <c r="L83" s="759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7"/>
      <c r="I84" s="757"/>
      <c r="J84" s="757"/>
      <c r="K84" s="877"/>
      <c r="L84" s="758"/>
      <c r="M84" s="674"/>
    </row>
    <row r="85" spans="2:26" s="4" customFormat="1" ht="25" customHeight="1">
      <c r="B85" s="966" t="s">
        <v>72</v>
      </c>
      <c r="C85" s="966"/>
      <c r="D85" s="966"/>
      <c r="E85" s="966"/>
      <c r="F85" s="966"/>
      <c r="G85" s="966"/>
      <c r="H85" s="679"/>
      <c r="J85" s="681"/>
      <c r="K85" s="863"/>
      <c r="M85" s="674"/>
    </row>
    <row r="86" spans="2:26" s="4" customFormat="1" ht="25" customHeight="1">
      <c r="B86" s="966"/>
      <c r="C86" s="966"/>
      <c r="D86" s="966"/>
      <c r="E86" s="966"/>
      <c r="F86" s="966"/>
      <c r="G86" s="966"/>
      <c r="H86" s="679"/>
      <c r="J86" s="681"/>
      <c r="K86" s="863"/>
      <c r="M86" s="674"/>
    </row>
    <row r="87" spans="2:26" s="4" customFormat="1" ht="25" customHeight="1">
      <c r="B87" s="966"/>
      <c r="C87" s="966"/>
      <c r="D87" s="966"/>
      <c r="E87" s="966"/>
      <c r="F87" s="966"/>
      <c r="G87" s="966"/>
      <c r="H87" s="679"/>
      <c r="J87" s="681"/>
      <c r="K87" s="863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3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60"/>
      <c r="H89" s="761"/>
      <c r="I89" s="760"/>
      <c r="J89" s="762"/>
      <c r="K89" s="878"/>
      <c r="L89" s="760"/>
      <c r="M89" s="763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4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4"/>
      <c r="L91" s="738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4" t="s">
        <v>617</v>
      </c>
      <c r="J92" s="131"/>
      <c r="K92" s="614" t="s">
        <v>83</v>
      </c>
      <c r="L92" s="687"/>
      <c r="M92" s="702"/>
      <c r="N92" s="682"/>
    </row>
    <row r="93" spans="2:26" s="770" customFormat="1" ht="25" customHeight="1">
      <c r="B93" s="445" t="s">
        <v>535</v>
      </c>
      <c r="C93" s="78"/>
      <c r="D93" s="524"/>
      <c r="E93" s="524"/>
      <c r="F93" s="766"/>
      <c r="G93" s="765">
        <f>S3_archive.50_SEK</f>
        <v>350</v>
      </c>
      <c r="H93" s="766"/>
      <c r="I93" s="767"/>
      <c r="J93" s="768"/>
      <c r="K93" s="631">
        <f>I93*G93</f>
        <v>0</v>
      </c>
      <c r="L93" s="769"/>
      <c r="M93" s="702"/>
      <c r="N93" s="737"/>
    </row>
    <row r="94" spans="2:26" s="682" customFormat="1" ht="25" customHeight="1">
      <c r="B94" s="137" t="s">
        <v>494</v>
      </c>
      <c r="C94" s="41"/>
      <c r="D94" s="79"/>
      <c r="E94" s="79"/>
      <c r="F94" s="752"/>
      <c r="G94" s="650">
        <f>S3_storage50_SEK</f>
        <v>500</v>
      </c>
      <c r="H94" s="753"/>
      <c r="I94" s="771"/>
      <c r="J94" s="755"/>
      <c r="K94" s="859">
        <f>I94*G94</f>
        <v>0</v>
      </c>
      <c r="L94" s="8"/>
      <c r="M94" s="702"/>
      <c r="T94" s="689"/>
    </row>
    <row r="95" spans="2:26" s="904" customFormat="1" ht="25" customHeight="1">
      <c r="B95" s="900" t="s">
        <v>222</v>
      </c>
      <c r="C95" s="901"/>
      <c r="D95" s="901"/>
      <c r="E95" s="901"/>
      <c r="F95" s="901"/>
      <c r="G95" s="901"/>
      <c r="H95" s="901"/>
      <c r="I95" s="901"/>
      <c r="J95" s="901"/>
      <c r="K95" s="903">
        <f>SUM(K93:K94)</f>
        <v>0</v>
      </c>
      <c r="M95" s="905"/>
      <c r="P95" s="906"/>
      <c r="R95" s="906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4" customFormat="1" ht="25" hidden="1" customHeight="1">
      <c r="B97" s="416" t="s">
        <v>422</v>
      </c>
      <c r="C97" s="772"/>
      <c r="D97" s="772"/>
      <c r="E97" s="772"/>
      <c r="F97" s="772"/>
      <c r="G97" s="772"/>
      <c r="H97" s="27"/>
      <c r="I97" s="27"/>
      <c r="J97" s="27"/>
      <c r="K97" s="874"/>
      <c r="M97" s="670"/>
      <c r="N97" s="27"/>
      <c r="O97" s="27"/>
      <c r="P97" s="727"/>
      <c r="Q97" s="27"/>
      <c r="R97" s="728"/>
    </row>
    <row r="98" spans="2:26" s="4" customFormat="1" ht="25" hidden="1" customHeight="1">
      <c r="B98" s="444" t="s">
        <v>208</v>
      </c>
      <c r="C98" s="10" t="s">
        <v>224</v>
      </c>
      <c r="D98" s="980" t="s">
        <v>225</v>
      </c>
      <c r="E98" s="980"/>
      <c r="F98" s="980"/>
      <c r="G98" s="980"/>
      <c r="H98" s="980"/>
      <c r="I98" s="980"/>
      <c r="J98" s="131"/>
      <c r="K98" s="614"/>
      <c r="L98" s="687"/>
      <c r="M98" s="726"/>
      <c r="N98" s="682"/>
    </row>
    <row r="99" spans="2:26" s="770" customFormat="1" ht="25" hidden="1" customHeight="1">
      <c r="B99" s="466" t="s">
        <v>423</v>
      </c>
      <c r="C99" s="82"/>
      <c r="D99" s="25"/>
      <c r="E99" s="773" cm="1">
        <f t="array" ref="E99">_xlfn.IFS(H99&lt;50,D100,H99&lt;100,D101,H99&lt;500,D102,H99&lt;1000,D103,H99&gt;999,D104)</f>
        <v>185</v>
      </c>
      <c r="F99" s="773"/>
      <c r="G99" s="773"/>
      <c r="H99" s="959">
        <v>600</v>
      </c>
      <c r="I99" s="775" t="s">
        <v>84</v>
      </c>
      <c r="J99" s="776"/>
      <c r="K99" s="596" cm="1">
        <f t="array" ref="K99">_xlfn.IFS(H99&lt;1000,ROUNDUP(H99*E99,2),H99&gt;999,E99)</f>
        <v>111000</v>
      </c>
      <c r="L99" s="769"/>
      <c r="M99" s="702"/>
      <c r="N99" s="737"/>
    </row>
    <row r="100" spans="2:26" s="4" customFormat="1" ht="25" hidden="1" customHeight="1">
      <c r="B100" s="605" t="s">
        <v>423</v>
      </c>
      <c r="C100" s="606" t="s">
        <v>429</v>
      </c>
      <c r="D100" s="979">
        <f>S3_archive.50_SEK</f>
        <v>350</v>
      </c>
      <c r="E100" s="979"/>
      <c r="F100" s="979"/>
      <c r="G100" s="979"/>
      <c r="H100" s="979"/>
      <c r="I100" s="979"/>
      <c r="J100" s="917"/>
      <c r="K100" s="879"/>
      <c r="L100" s="687"/>
      <c r="M100" s="736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7">
        <f>S3_archive.100_SEK</f>
        <v>270</v>
      </c>
      <c r="E101" s="977"/>
      <c r="F101" s="977"/>
      <c r="G101" s="977"/>
      <c r="H101" s="977"/>
      <c r="I101" s="977"/>
      <c r="J101" s="919"/>
      <c r="K101" s="880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8">
        <f>S3_archive.500_SEK</f>
        <v>200</v>
      </c>
      <c r="E102" s="968"/>
      <c r="F102" s="968"/>
      <c r="G102" s="968"/>
      <c r="H102" s="968"/>
      <c r="I102" s="968"/>
      <c r="J102" s="920"/>
      <c r="K102" s="881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7">
        <f>S3_archive.1000_SEK</f>
        <v>185</v>
      </c>
      <c r="E103" s="977"/>
      <c r="F103" s="977"/>
      <c r="G103" s="977"/>
      <c r="H103" s="977"/>
      <c r="I103" s="977"/>
      <c r="J103" s="919"/>
      <c r="K103" s="880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8" t="str">
        <f>S3_archive.quote_SEK</f>
        <v>Be om offert</v>
      </c>
      <c r="E104" s="978"/>
      <c r="F104" s="978"/>
      <c r="G104" s="978"/>
      <c r="H104" s="978"/>
      <c r="I104" s="978"/>
      <c r="J104" s="918"/>
      <c r="K104" s="882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7"/>
      <c r="K105" s="870">
        <f>K99</f>
        <v>111000</v>
      </c>
      <c r="L105" s="687"/>
      <c r="M105" s="702"/>
      <c r="N105" s="682"/>
    </row>
    <row r="106" spans="2:26" s="729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4"/>
      <c r="K106" s="864"/>
      <c r="L106" s="687"/>
      <c r="M106" s="702"/>
      <c r="N106" s="746"/>
      <c r="O106" s="746"/>
      <c r="P106" s="746"/>
      <c r="Q106" s="746"/>
      <c r="R106" s="746"/>
      <c r="S106" s="746"/>
    </row>
    <row r="107" spans="2:26" ht="25" customHeight="1">
      <c r="B107" s="639"/>
      <c r="C107" s="26"/>
      <c r="D107" s="26"/>
      <c r="E107" s="26"/>
      <c r="F107" s="778"/>
      <c r="G107" s="779"/>
      <c r="H107" s="757"/>
      <c r="I107" s="757"/>
      <c r="J107" s="780"/>
      <c r="K107" s="876"/>
      <c r="L107" s="759"/>
      <c r="M107" s="702"/>
      <c r="N107" s="682"/>
      <c r="Q107" s="4"/>
    </row>
    <row r="108" spans="2:26" s="4" customFormat="1" ht="25" customHeight="1">
      <c r="B108" s="966" t="s">
        <v>86</v>
      </c>
      <c r="C108" s="966"/>
      <c r="D108" s="966"/>
      <c r="E108" s="966"/>
      <c r="F108" s="966"/>
      <c r="G108" s="966"/>
      <c r="H108" s="679"/>
      <c r="J108" s="681"/>
      <c r="K108" s="863"/>
      <c r="L108" s="681"/>
      <c r="M108" s="674"/>
    </row>
    <row r="109" spans="2:26" s="4" customFormat="1" ht="25" customHeight="1">
      <c r="B109" s="966"/>
      <c r="C109" s="966"/>
      <c r="D109" s="966"/>
      <c r="E109" s="966"/>
      <c r="F109" s="966"/>
      <c r="G109" s="966"/>
      <c r="H109" s="679"/>
      <c r="J109" s="681"/>
      <c r="K109" s="863"/>
      <c r="L109" s="681"/>
      <c r="M109" s="674"/>
    </row>
    <row r="110" spans="2:26" s="4" customFormat="1" ht="25" customHeight="1">
      <c r="B110" s="966"/>
      <c r="C110" s="966"/>
      <c r="D110" s="966"/>
      <c r="E110" s="966"/>
      <c r="F110" s="966"/>
      <c r="G110" s="966"/>
      <c r="H110" s="679"/>
      <c r="J110" s="681"/>
      <c r="K110" s="863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3"/>
      <c r="L111" s="681"/>
      <c r="M111" s="688"/>
    </row>
    <row r="112" spans="2:26" s="4" customFormat="1" ht="25" customHeight="1">
      <c r="B112" s="982" t="s">
        <v>608</v>
      </c>
      <c r="C112" s="982"/>
      <c r="D112" s="982"/>
      <c r="E112" s="982"/>
      <c r="F112" s="982"/>
      <c r="G112" s="684"/>
      <c r="H112" s="685"/>
      <c r="J112" s="686"/>
      <c r="K112" s="864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4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9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4"/>
      <c r="L114" s="8"/>
      <c r="M114" s="781"/>
      <c r="P114" s="746"/>
      <c r="Q114" s="746"/>
      <c r="R114" s="746"/>
      <c r="S114" s="746"/>
      <c r="T114" s="746"/>
      <c r="U114" s="746"/>
    </row>
    <row r="115" spans="2:32" ht="25" customHeight="1">
      <c r="B115" s="444" t="s">
        <v>208</v>
      </c>
      <c r="C115" s="789"/>
      <c r="D115" s="789"/>
      <c r="E115" s="24" t="s">
        <v>286</v>
      </c>
      <c r="F115" s="789"/>
      <c r="G115" s="24" t="s">
        <v>620</v>
      </c>
      <c r="H115" s="24"/>
      <c r="I115" s="744" t="s">
        <v>612</v>
      </c>
      <c r="J115" s="744" t="s">
        <v>621</v>
      </c>
      <c r="K115" s="614" t="s">
        <v>92</v>
      </c>
      <c r="L115" s="738"/>
      <c r="M115" s="960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2">
        <f>BAAS_on.demand_SEK</f>
        <v>2.4500000000000002</v>
      </c>
      <c r="H116" s="399"/>
      <c r="I116" s="767"/>
      <c r="J116" s="909" t="s">
        <v>94</v>
      </c>
      <c r="K116" s="858">
        <f>ROUNDUP(I116*G116,2)</f>
        <v>0</v>
      </c>
      <c r="L116" s="738"/>
      <c r="M116" s="856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5"/>
      <c r="G117" s="783">
        <f>BAAS_small_SEK</f>
        <v>1.75</v>
      </c>
      <c r="H117" s="755"/>
      <c r="I117" s="784"/>
      <c r="J117" s="785">
        <v>0.75</v>
      </c>
      <c r="K117" s="859">
        <f>IF(I117&gt;0,$E$117+($G$117*(I117*(1-$J$117))),0)</f>
        <v>0</v>
      </c>
      <c r="L117" s="738"/>
      <c r="M117" s="857" t="s">
        <v>624</v>
      </c>
    </row>
    <row r="118" spans="2:32" s="786" customFormat="1" ht="25" customHeight="1">
      <c r="B118" s="466" t="s">
        <v>497</v>
      </c>
      <c r="C118" s="82"/>
      <c r="D118" s="82"/>
      <c r="E118" s="33">
        <v>9500</v>
      </c>
      <c r="F118" s="775"/>
      <c r="G118" s="782">
        <f>BAAS_large_SEK</f>
        <v>0.92</v>
      </c>
      <c r="H118" s="775"/>
      <c r="I118" s="774"/>
      <c r="J118" s="787">
        <v>0.75</v>
      </c>
      <c r="K118" s="596">
        <f>IF(I118&gt;0,$E$118+($G$118*(I118*(1-$J$118))),0)</f>
        <v>0</v>
      </c>
      <c r="L118" s="738"/>
      <c r="M118" s="856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4" customFormat="1" ht="25" customHeight="1">
      <c r="B119" s="900" t="s">
        <v>222</v>
      </c>
      <c r="C119" s="901"/>
      <c r="D119" s="901"/>
      <c r="E119" s="901"/>
      <c r="F119" s="901"/>
      <c r="G119" s="901"/>
      <c r="H119" s="901"/>
      <c r="I119" s="901" t="str">
        <f>SUM(I116:I118)&amp;" GB"</f>
        <v>0 GB</v>
      </c>
      <c r="J119" s="901"/>
      <c r="K119" s="903">
        <f>SUM(K116:K118)</f>
        <v>0</v>
      </c>
      <c r="M119" s="905"/>
      <c r="P119" s="906"/>
      <c r="R119" s="906"/>
    </row>
    <row r="120" spans="2:32" s="786" customFormat="1" ht="25" customHeight="1">
      <c r="B120" s="448"/>
      <c r="C120" s="19"/>
      <c r="D120" s="19"/>
      <c r="E120" s="19"/>
      <c r="F120" s="908"/>
      <c r="G120" s="709"/>
      <c r="H120" s="709"/>
      <c r="I120" s="709"/>
      <c r="J120" s="709"/>
      <c r="K120" s="883"/>
      <c r="L120" s="777"/>
      <c r="M120" s="788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8"/>
      <c r="G121" s="779"/>
      <c r="H121" s="757"/>
      <c r="I121" s="757"/>
      <c r="J121" s="780"/>
      <c r="K121" s="876"/>
      <c r="L121" s="769"/>
      <c r="M121" s="781"/>
      <c r="N121" s="682"/>
    </row>
    <row r="122" spans="2:32" ht="25" customHeight="1">
      <c r="B122" s="639"/>
      <c r="C122" s="26"/>
      <c r="D122" s="26"/>
      <c r="E122" s="26"/>
      <c r="F122" s="778"/>
      <c r="G122" s="779"/>
      <c r="H122" s="757"/>
      <c r="I122" s="757"/>
      <c r="J122" s="780"/>
      <c r="K122" s="876"/>
      <c r="L122" s="759"/>
      <c r="M122" s="702"/>
      <c r="N122" s="682"/>
      <c r="Q122" s="4"/>
    </row>
    <row r="123" spans="2:32" s="4" customFormat="1" ht="25" customHeight="1">
      <c r="B123" s="966" t="s">
        <v>442</v>
      </c>
      <c r="C123" s="966"/>
      <c r="D123" s="966"/>
      <c r="E123" s="966"/>
      <c r="F123" s="966"/>
      <c r="G123" s="966"/>
      <c r="H123" s="679"/>
      <c r="J123" s="681"/>
      <c r="K123" s="863"/>
      <c r="L123" s="681"/>
      <c r="M123" s="674"/>
    </row>
    <row r="124" spans="2:32" s="4" customFormat="1" ht="25" customHeight="1">
      <c r="B124" s="966"/>
      <c r="C124" s="966"/>
      <c r="D124" s="966"/>
      <c r="E124" s="966"/>
      <c r="F124" s="966"/>
      <c r="G124" s="966"/>
      <c r="H124" s="679"/>
      <c r="J124" s="681"/>
      <c r="K124" s="863"/>
      <c r="L124" s="681"/>
      <c r="M124" s="674"/>
    </row>
    <row r="125" spans="2:32" s="4" customFormat="1" ht="25" customHeight="1">
      <c r="B125" s="966"/>
      <c r="C125" s="966"/>
      <c r="D125" s="966"/>
      <c r="E125" s="966"/>
      <c r="F125" s="966"/>
      <c r="G125" s="966"/>
      <c r="H125" s="679"/>
      <c r="J125" s="681"/>
      <c r="K125" s="863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3"/>
      <c r="L126" s="681"/>
      <c r="M126" s="688"/>
    </row>
    <row r="127" spans="2:32" s="4" customFormat="1" ht="25" customHeight="1">
      <c r="B127" s="982" t="s">
        <v>666</v>
      </c>
      <c r="C127" s="982"/>
      <c r="D127" s="982"/>
      <c r="E127" s="982"/>
      <c r="F127" s="982"/>
      <c r="G127" s="684"/>
      <c r="H127" s="685"/>
      <c r="J127" s="686"/>
      <c r="K127" s="864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4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9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4"/>
      <c r="L129" s="8"/>
      <c r="M129" s="781"/>
      <c r="P129" s="746"/>
      <c r="Q129" s="746"/>
      <c r="R129" s="746"/>
      <c r="S129" s="746"/>
      <c r="T129" s="746"/>
      <c r="U129" s="746"/>
    </row>
    <row r="130" spans="2:32" ht="25" customHeight="1">
      <c r="B130" s="444" t="s">
        <v>208</v>
      </c>
      <c r="C130" s="967" t="s">
        <v>627</v>
      </c>
      <c r="D130" s="967"/>
      <c r="E130" s="967" t="s">
        <v>628</v>
      </c>
      <c r="F130" s="967"/>
      <c r="G130" s="967" t="s">
        <v>286</v>
      </c>
      <c r="H130" s="967"/>
      <c r="I130" s="24"/>
      <c r="J130" s="24"/>
      <c r="K130" s="614" t="s">
        <v>92</v>
      </c>
      <c r="L130" s="738"/>
      <c r="M130" s="961"/>
    </row>
    <row r="131" spans="2:32" ht="25" customHeight="1">
      <c r="B131" s="854" t="s">
        <v>498</v>
      </c>
      <c r="C131" s="973" t="s">
        <v>575</v>
      </c>
      <c r="D131" s="973"/>
      <c r="E131" s="975" t="s">
        <v>650</v>
      </c>
      <c r="F131" s="975"/>
      <c r="G131" s="969">
        <v>15000</v>
      </c>
      <c r="H131" s="970"/>
      <c r="I131" s="767"/>
      <c r="J131" s="963">
        <v>2</v>
      </c>
      <c r="K131" s="884" t="str">
        <f>IF(J131=1,G131," ")</f>
        <v xml:space="preserve"> </v>
      </c>
      <c r="L131" s="738"/>
      <c r="M131" s="790"/>
    </row>
    <row r="132" spans="2:32" ht="25" customHeight="1">
      <c r="B132" s="137" t="s">
        <v>499</v>
      </c>
      <c r="C132" s="974" t="s">
        <v>629</v>
      </c>
      <c r="D132" s="974"/>
      <c r="E132" s="976" t="s">
        <v>630</v>
      </c>
      <c r="F132" s="976"/>
      <c r="G132" s="971">
        <v>24000</v>
      </c>
      <c r="H132" s="972"/>
      <c r="I132" s="771"/>
      <c r="J132" s="755"/>
      <c r="K132" s="885" t="str">
        <f>IF(J131=3,G132," ")</f>
        <v xml:space="preserve"> </v>
      </c>
      <c r="L132" s="738"/>
      <c r="M132" s="791"/>
    </row>
    <row r="133" spans="2:32" s="904" customFormat="1" ht="25" customHeight="1">
      <c r="B133" s="900" t="s">
        <v>222</v>
      </c>
      <c r="C133" s="901"/>
      <c r="D133" s="901"/>
      <c r="E133" s="901"/>
      <c r="F133" s="901"/>
      <c r="G133" s="901"/>
      <c r="H133" s="901"/>
      <c r="I133" s="962"/>
      <c r="J133" s="901"/>
      <c r="K133" s="903">
        <f>SUM(K131:K132)</f>
        <v>0</v>
      </c>
      <c r="M133" s="905"/>
      <c r="P133" s="906"/>
      <c r="R133" s="906"/>
    </row>
    <row r="134" spans="2:32" s="786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70"/>
      <c r="L134" s="738"/>
      <c r="M134" s="78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6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3"/>
      <c r="L135" s="777"/>
      <c r="M135" s="788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9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4"/>
      <c r="K136" s="864"/>
      <c r="L136" s="687"/>
      <c r="M136" s="702"/>
      <c r="N136" s="746"/>
      <c r="O136" s="746"/>
      <c r="P136" s="746"/>
      <c r="Q136" s="746"/>
      <c r="R136" s="746"/>
      <c r="S136" s="746"/>
    </row>
    <row r="137" spans="2:32" s="4" customFormat="1" ht="25" customHeight="1">
      <c r="B137" s="966" t="s">
        <v>292</v>
      </c>
      <c r="C137" s="966"/>
      <c r="D137" s="966"/>
      <c r="E137" s="966"/>
      <c r="F137" s="966"/>
      <c r="G137" s="966"/>
      <c r="H137" s="679"/>
      <c r="J137" s="681"/>
      <c r="K137" s="863"/>
      <c r="M137" s="702"/>
    </row>
    <row r="138" spans="2:32" s="4" customFormat="1" ht="25" customHeight="1">
      <c r="B138" s="966"/>
      <c r="C138" s="966"/>
      <c r="D138" s="966"/>
      <c r="E138" s="966"/>
      <c r="F138" s="966"/>
      <c r="G138" s="966"/>
      <c r="H138" s="679"/>
      <c r="J138" s="681"/>
      <c r="K138" s="863"/>
      <c r="M138" s="702"/>
    </row>
    <row r="139" spans="2:32" s="4" customFormat="1" ht="25" customHeight="1">
      <c r="B139" s="966"/>
      <c r="C139" s="966"/>
      <c r="D139" s="966"/>
      <c r="E139" s="966"/>
      <c r="F139" s="966"/>
      <c r="G139" s="966"/>
      <c r="H139" s="679"/>
      <c r="J139" s="681"/>
      <c r="K139" s="863"/>
      <c r="M139" s="702"/>
    </row>
    <row r="140" spans="2:32" s="4" customFormat="1" ht="25" customHeight="1">
      <c r="B140" s="982" t="s">
        <v>608</v>
      </c>
      <c r="C140" s="982"/>
      <c r="D140" s="982"/>
      <c r="E140" s="982"/>
      <c r="F140" s="982"/>
      <c r="G140" s="684"/>
      <c r="H140" s="685"/>
      <c r="J140" s="686"/>
      <c r="K140" s="864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990"/>
      <c r="C141" s="990"/>
      <c r="D141" s="990"/>
      <c r="E141" s="990"/>
      <c r="F141" s="990"/>
      <c r="G141" s="684"/>
      <c r="H141" s="685"/>
      <c r="I141" s="684"/>
      <c r="J141" s="686"/>
      <c r="K141" s="864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4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4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9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2" t="s">
        <v>107</v>
      </c>
      <c r="K146" s="858">
        <f>NET_publicv4_SEK</f>
        <v>25</v>
      </c>
      <c r="M146" s="702"/>
      <c r="N146" s="759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3"/>
      <c r="G147" s="793"/>
      <c r="H147" s="793"/>
      <c r="I147" s="793"/>
      <c r="J147" s="794" t="s">
        <v>94</v>
      </c>
      <c r="K147" s="556">
        <f>NET_publicv6_SEK</f>
        <v>0</v>
      </c>
      <c r="M147" s="702"/>
      <c r="N147" s="759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2" t="s">
        <v>69</v>
      </c>
      <c r="K148" s="557">
        <f>NET_ingress_SEK</f>
        <v>0</v>
      </c>
      <c r="M148" s="702"/>
      <c r="N148" s="759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3"/>
      <c r="G149" s="793"/>
      <c r="H149" s="793"/>
      <c r="I149" s="793"/>
      <c r="J149" s="795" t="s">
        <v>69</v>
      </c>
      <c r="K149" s="556">
        <f>NET_egress_SEK</f>
        <v>0.25</v>
      </c>
      <c r="M149" s="702"/>
      <c r="N149" s="759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2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3"/>
      <c r="G151" s="793"/>
      <c r="H151" s="793"/>
      <c r="I151" s="793"/>
      <c r="J151" s="794" t="s">
        <v>94</v>
      </c>
      <c r="K151" s="556">
        <f>NET_rdns_SEK</f>
        <v>0</v>
      </c>
      <c r="M151" s="702"/>
      <c r="N151" s="759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7" t="s">
        <v>94</v>
      </c>
      <c r="K152" s="557">
        <v>0</v>
      </c>
      <c r="M152" s="702"/>
      <c r="N152" s="759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6"/>
      <c r="M153" s="702"/>
      <c r="N153" s="759"/>
      <c r="O153" s="8"/>
    </row>
    <row r="154" spans="2:18" ht="25" customHeight="1">
      <c r="C154" s="43"/>
      <c r="J154" s="43"/>
      <c r="M154" s="702"/>
      <c r="N154" s="759"/>
      <c r="O154" s="8"/>
    </row>
    <row r="155" spans="2:18" ht="25" customHeight="1">
      <c r="C155" s="43"/>
      <c r="J155" s="43"/>
      <c r="M155" s="702"/>
      <c r="N155" s="759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8"/>
      <c r="M156" s="702"/>
      <c r="N156" s="759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9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2" t="s">
        <v>10</v>
      </c>
      <c r="K159" s="858">
        <f>SW_win.ser.201X_SEK</f>
        <v>78</v>
      </c>
      <c r="L159" s="757"/>
      <c r="M159" s="702"/>
      <c r="N159" s="759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3"/>
      <c r="G160" s="793"/>
      <c r="H160" s="793"/>
      <c r="I160" s="793"/>
      <c r="J160" s="795" t="s">
        <v>10</v>
      </c>
      <c r="K160" s="859">
        <f>SW_win.ser.201X_SEK</f>
        <v>78</v>
      </c>
      <c r="L160" s="757"/>
      <c r="M160" s="702"/>
      <c r="N160" s="759"/>
      <c r="O160" s="8"/>
      <c r="Q160" s="682"/>
      <c r="R160" s="682"/>
    </row>
    <row r="161" spans="2:18" ht="25" customHeight="1">
      <c r="B161" s="134" t="s">
        <v>670</v>
      </c>
      <c r="C161" s="129"/>
      <c r="D161" s="30"/>
      <c r="E161" s="30" t="s">
        <v>671</v>
      </c>
      <c r="F161" s="30"/>
      <c r="G161" s="30"/>
      <c r="H161" s="30"/>
      <c r="I161" s="30"/>
      <c r="J161" s="792" t="s">
        <v>10</v>
      </c>
      <c r="K161" s="858">
        <f>SW_win.ser.201X_SEK</f>
        <v>78</v>
      </c>
      <c r="L161" s="757"/>
      <c r="M161" s="702"/>
      <c r="N161" s="759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3"/>
      <c r="G162" s="793"/>
      <c r="H162" s="793"/>
      <c r="I162" s="793"/>
      <c r="J162" s="795" t="s">
        <v>10</v>
      </c>
      <c r="K162" s="859">
        <f>SW_ms.sql.ser_SEK</f>
        <v>1498</v>
      </c>
      <c r="M162" s="702"/>
      <c r="N162" s="759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2" t="s">
        <v>94</v>
      </c>
      <c r="K163" s="858" t="s">
        <v>635</v>
      </c>
      <c r="L163" s="757"/>
      <c r="M163" s="702"/>
      <c r="N163" s="759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3"/>
      <c r="G164" s="793"/>
      <c r="H164" s="793"/>
      <c r="I164" s="793"/>
      <c r="J164" s="795" t="s">
        <v>94</v>
      </c>
      <c r="K164" s="859" t="s">
        <v>635</v>
      </c>
      <c r="M164" s="702"/>
      <c r="N164" s="759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2" t="s">
        <v>94</v>
      </c>
      <c r="K165" s="858" t="str">
        <f>SW_cluster.control_SEK</f>
        <v>3x instanspris</v>
      </c>
      <c r="M165" s="702"/>
      <c r="N165" s="759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3"/>
      <c r="G166" s="793"/>
      <c r="H166" s="793"/>
      <c r="I166" s="793"/>
      <c r="J166" s="795" t="s">
        <v>138</v>
      </c>
      <c r="K166" s="859">
        <f>SW_backup.ninja_SEK</f>
        <v>400</v>
      </c>
      <c r="M166" s="702"/>
      <c r="N166" s="759"/>
      <c r="O166" s="8"/>
    </row>
    <row r="167" spans="2:18" ht="25" customHeight="1">
      <c r="B167" s="106"/>
      <c r="C167" s="103"/>
      <c r="D167" s="104"/>
      <c r="E167" s="105"/>
      <c r="F167" s="799"/>
      <c r="G167" s="799"/>
      <c r="H167" s="799"/>
      <c r="I167" s="799"/>
      <c r="J167" s="800"/>
      <c r="K167" s="887"/>
      <c r="M167" s="702"/>
      <c r="N167" s="759"/>
      <c r="O167" s="8"/>
    </row>
    <row r="168" spans="2:18" ht="25" customHeight="1">
      <c r="B168" s="137"/>
      <c r="C168" s="130"/>
      <c r="D168" s="41"/>
      <c r="E168" s="31"/>
      <c r="F168" s="793"/>
      <c r="G168" s="793"/>
      <c r="H168" s="793"/>
      <c r="I168" s="793"/>
      <c r="J168" s="801"/>
      <c r="K168" s="556"/>
      <c r="M168" s="702"/>
      <c r="N168" s="759"/>
      <c r="O168" s="8"/>
    </row>
    <row r="169" spans="2:18" ht="25" customHeight="1">
      <c r="M169" s="702"/>
      <c r="N169" s="759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9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9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9">
        <f>PAAS_man.kubernetes_SEK</f>
        <v>24000</v>
      </c>
      <c r="M173" s="702"/>
      <c r="N173" s="759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3"/>
      <c r="G174" s="793"/>
      <c r="H174" s="793"/>
      <c r="I174" s="793"/>
      <c r="J174" s="801"/>
      <c r="K174" s="859">
        <f>PAAS_man.postgres.sql_SEK</f>
        <v>15000</v>
      </c>
      <c r="M174" s="702"/>
      <c r="N174" s="759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9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3"/>
      <c r="G176" s="793"/>
      <c r="H176" s="793"/>
      <c r="I176" s="793"/>
      <c r="J176" s="801"/>
      <c r="K176" s="556">
        <f>PAAS_openshift_SEK</f>
        <v>0</v>
      </c>
      <c r="M176" s="702"/>
      <c r="N176" s="759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9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3"/>
      <c r="G178" s="793"/>
      <c r="H178" s="793"/>
      <c r="I178" s="793"/>
      <c r="J178" s="801"/>
      <c r="K178" s="556" t="s">
        <v>635</v>
      </c>
      <c r="M178" s="702"/>
      <c r="N178" s="759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9"/>
      <c r="O179" s="8"/>
    </row>
    <row r="180" spans="2:20" ht="25" customHeight="1">
      <c r="B180" s="106"/>
      <c r="C180" s="103"/>
      <c r="D180" s="397"/>
      <c r="E180" s="105"/>
      <c r="F180" s="799"/>
      <c r="G180" s="799"/>
      <c r="H180" s="799"/>
      <c r="I180" s="799"/>
      <c r="J180" s="800"/>
      <c r="K180" s="887"/>
      <c r="M180" s="702"/>
      <c r="N180" s="759"/>
      <c r="O180" s="8"/>
    </row>
    <row r="181" spans="2:20" ht="25" customHeight="1">
      <c r="B181" s="137"/>
      <c r="C181" s="130"/>
      <c r="D181" s="38"/>
      <c r="E181" s="31"/>
      <c r="F181" s="793"/>
      <c r="G181" s="801"/>
      <c r="H181" s="795"/>
      <c r="I181" s="441"/>
      <c r="M181" s="702"/>
    </row>
    <row r="182" spans="2:20" ht="25" customHeight="1">
      <c r="B182" s="417"/>
      <c r="C182" s="26"/>
      <c r="D182" s="26"/>
      <c r="E182" s="26"/>
      <c r="F182" s="778"/>
      <c r="G182" s="779"/>
      <c r="H182" s="26"/>
      <c r="I182" s="757"/>
      <c r="J182" s="757"/>
      <c r="K182" s="876"/>
      <c r="L182" s="759"/>
      <c r="M182" s="702"/>
      <c r="N182" s="682"/>
      <c r="O182" s="682"/>
    </row>
    <row r="183" spans="2:20" s="4" customFormat="1" ht="25" customHeight="1">
      <c r="B183" s="966" t="s">
        <v>300</v>
      </c>
      <c r="C183" s="966"/>
      <c r="D183" s="966"/>
      <c r="E183" s="966"/>
      <c r="F183" s="966"/>
      <c r="G183" s="966"/>
      <c r="H183" s="802"/>
      <c r="J183" s="681"/>
      <c r="K183" s="863"/>
      <c r="M183" s="702"/>
    </row>
    <row r="184" spans="2:20" s="4" customFormat="1" ht="25" customHeight="1">
      <c r="B184" s="966"/>
      <c r="C184" s="966"/>
      <c r="D184" s="966"/>
      <c r="E184" s="966"/>
      <c r="F184" s="966"/>
      <c r="G184" s="966"/>
      <c r="H184" s="802"/>
      <c r="J184" s="681"/>
      <c r="K184" s="863"/>
      <c r="M184" s="702"/>
    </row>
    <row r="185" spans="2:20" s="4" customFormat="1" ht="25" customHeight="1">
      <c r="B185" s="966"/>
      <c r="C185" s="966"/>
      <c r="D185" s="966"/>
      <c r="E185" s="966"/>
      <c r="F185" s="966"/>
      <c r="G185" s="966"/>
      <c r="H185" s="802"/>
      <c r="J185" s="681"/>
      <c r="K185" s="863"/>
      <c r="M185" s="702"/>
    </row>
    <row r="186" spans="2:20" s="4" customFormat="1" ht="25" customHeight="1">
      <c r="B186" s="987" t="s">
        <v>639</v>
      </c>
      <c r="C186" s="987"/>
      <c r="D186" s="987"/>
      <c r="E186" s="987"/>
      <c r="F186" s="987"/>
      <c r="H186" s="802"/>
      <c r="J186" s="681"/>
      <c r="K186" s="863"/>
      <c r="M186" s="702"/>
    </row>
    <row r="187" spans="2:20" s="4" customFormat="1" ht="25" customHeight="1">
      <c r="B187" s="982" t="s">
        <v>420</v>
      </c>
      <c r="C187" s="982"/>
      <c r="D187" s="982"/>
      <c r="E187" s="982"/>
      <c r="F187" s="982"/>
      <c r="G187" s="684"/>
      <c r="H187" s="685"/>
      <c r="I187" s="684"/>
      <c r="J187" s="686"/>
      <c r="K187" s="864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4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8"/>
      <c r="L189" s="13"/>
      <c r="M189" s="702"/>
      <c r="O189" s="759"/>
      <c r="P189" s="759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7"/>
      <c r="M191" s="702"/>
      <c r="N191" s="759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7" t="s">
        <v>94</v>
      </c>
      <c r="J192" s="797"/>
      <c r="K192" s="557">
        <v>0</v>
      </c>
      <c r="L192" s="757"/>
      <c r="M192" s="702"/>
      <c r="N192" s="759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3"/>
      <c r="G193" s="801"/>
      <c r="H193" s="801"/>
      <c r="I193" s="795" t="s">
        <v>245</v>
      </c>
      <c r="J193" s="795"/>
      <c r="K193" s="556" t="s">
        <v>641</v>
      </c>
      <c r="L193" s="757"/>
      <c r="M193" s="897" t="s">
        <v>591</v>
      </c>
      <c r="N193" s="759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2" t="s">
        <v>247</v>
      </c>
      <c r="J194" s="792"/>
      <c r="K194" s="557" t="s">
        <v>635</v>
      </c>
      <c r="L194" s="757"/>
      <c r="M194" s="702"/>
      <c r="N194" s="759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9"/>
      <c r="G195" s="800"/>
      <c r="H195" s="800"/>
      <c r="I195" s="803"/>
      <c r="J195" s="803"/>
      <c r="K195" s="887"/>
      <c r="L195" s="757"/>
      <c r="M195" s="702"/>
      <c r="N195" s="759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3"/>
      <c r="G196" s="801"/>
      <c r="H196" s="801"/>
      <c r="I196" s="795"/>
      <c r="J196" s="795"/>
      <c r="K196" s="556"/>
      <c r="L196" s="757"/>
      <c r="M196" s="702"/>
      <c r="N196" s="759"/>
      <c r="O196" s="8"/>
      <c r="Q196" s="682"/>
      <c r="R196" s="682"/>
    </row>
    <row r="197" spans="2:18" s="653" customFormat="1" ht="25" customHeight="1">
      <c r="B197" s="651" t="s">
        <v>642</v>
      </c>
      <c r="C197" s="910"/>
      <c r="D197" s="910"/>
      <c r="F197" s="910"/>
      <c r="G197" s="910"/>
      <c r="H197" s="910"/>
      <c r="I197" s="911"/>
      <c r="J197" s="911"/>
      <c r="K197" s="715"/>
      <c r="L197" s="912"/>
      <c r="M197" s="913"/>
      <c r="N197" s="914"/>
      <c r="O197" s="915"/>
      <c r="Q197" s="915"/>
      <c r="R197" s="915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7"/>
      <c r="M199" s="702"/>
      <c r="N199" s="759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2" t="s">
        <v>247</v>
      </c>
      <c r="J200" s="792"/>
      <c r="K200" s="631">
        <f>PS_consult.jun_SEK</f>
        <v>1127</v>
      </c>
      <c r="L200" s="757"/>
      <c r="M200" s="702"/>
      <c r="N200" s="759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3"/>
      <c r="G201" s="801"/>
      <c r="H201" s="801"/>
      <c r="I201" s="795" t="s">
        <v>247</v>
      </c>
      <c r="J201" s="795"/>
      <c r="K201" s="898">
        <f>PS_consult.sen_SEK</f>
        <v>1374</v>
      </c>
      <c r="L201" s="757"/>
      <c r="M201" s="702"/>
      <c r="N201" s="759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2" t="s">
        <v>247</v>
      </c>
      <c r="J202" s="792"/>
      <c r="K202" s="631">
        <f>PS_cloudarch.jun_SEK</f>
        <v>1277</v>
      </c>
      <c r="L202" s="757"/>
      <c r="M202" s="702"/>
      <c r="N202" s="759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1"/>
      <c r="H203" s="801"/>
      <c r="I203" s="795" t="s">
        <v>247</v>
      </c>
      <c r="J203" s="795"/>
      <c r="K203" s="898">
        <f>PS_cloudarch.sen_SEK</f>
        <v>1374</v>
      </c>
      <c r="L203" s="757"/>
      <c r="M203" s="702"/>
      <c r="N203" s="759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2" t="s">
        <v>247</v>
      </c>
      <c r="J204" s="792"/>
      <c r="K204" s="631">
        <f>PS_pm.jun_SEK</f>
        <v>1139</v>
      </c>
      <c r="L204" s="757"/>
      <c r="M204" s="702"/>
      <c r="N204" s="759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3"/>
      <c r="G205" s="801"/>
      <c r="H205" s="801"/>
      <c r="I205" s="795" t="s">
        <v>247</v>
      </c>
      <c r="J205" s="795"/>
      <c r="K205" s="898">
        <f>PS_pm.sen_SEK</f>
        <v>1374</v>
      </c>
      <c r="L205" s="757"/>
      <c r="M205" s="702"/>
      <c r="N205" s="759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9"/>
      <c r="G206" s="800"/>
      <c r="H206" s="800"/>
      <c r="I206" s="803"/>
      <c r="J206" s="803"/>
      <c r="K206" s="887"/>
      <c r="L206" s="757"/>
      <c r="M206" s="702"/>
      <c r="N206" s="759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3"/>
      <c r="G207" s="801"/>
      <c r="H207" s="801"/>
      <c r="I207" s="795"/>
      <c r="J207" s="795"/>
      <c r="K207" s="556"/>
      <c r="M207" s="702"/>
      <c r="N207" s="759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8"/>
      <c r="J208" s="798"/>
      <c r="L208" s="757"/>
      <c r="M208" s="702"/>
      <c r="N208" s="759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7"/>
      <c r="M210" s="702"/>
      <c r="N210" s="759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2" t="s">
        <v>254</v>
      </c>
      <c r="H211" s="792"/>
      <c r="I211" s="792" t="s">
        <v>308</v>
      </c>
      <c r="J211" s="792"/>
      <c r="K211" s="557" t="s">
        <v>635</v>
      </c>
      <c r="L211" s="757"/>
      <c r="M211" s="702"/>
      <c r="N211" s="759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3"/>
      <c r="G212" s="795" t="s">
        <v>254</v>
      </c>
      <c r="H212" s="795"/>
      <c r="I212" s="795" t="s">
        <v>308</v>
      </c>
      <c r="J212" s="795"/>
      <c r="K212" s="556" t="s">
        <v>635</v>
      </c>
      <c r="L212" s="757"/>
      <c r="M212" s="702"/>
      <c r="N212" s="759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2" t="s">
        <v>645</v>
      </c>
      <c r="H213" s="792"/>
      <c r="I213" s="792" t="s">
        <v>308</v>
      </c>
      <c r="J213" s="792"/>
      <c r="K213" s="557" t="s">
        <v>635</v>
      </c>
      <c r="L213" s="757"/>
      <c r="M213" s="702"/>
      <c r="N213" s="759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3"/>
      <c r="G214" s="795" t="s">
        <v>645</v>
      </c>
      <c r="H214" s="795"/>
      <c r="I214" s="795" t="s">
        <v>308</v>
      </c>
      <c r="J214" s="795"/>
      <c r="K214" s="556" t="s">
        <v>635</v>
      </c>
      <c r="L214" s="757"/>
      <c r="M214" s="702"/>
      <c r="N214" s="759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9"/>
      <c r="G215" s="800"/>
      <c r="H215" s="800"/>
      <c r="I215" s="800"/>
      <c r="J215" s="800"/>
      <c r="K215" s="887"/>
      <c r="L215" s="757"/>
      <c r="M215" s="702"/>
      <c r="N215" s="759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8"/>
      <c r="G216" s="779"/>
      <c r="H216" s="757"/>
      <c r="I216" s="757"/>
      <c r="J216" s="757"/>
      <c r="K216" s="877"/>
      <c r="L216" s="759"/>
      <c r="M216" s="702"/>
      <c r="N216" s="682"/>
      <c r="O216" s="682"/>
    </row>
    <row r="217" spans="1:18" ht="25" customHeight="1">
      <c r="A217" s="789"/>
      <c r="B217" s="642"/>
      <c r="C217" s="60"/>
      <c r="D217" s="60"/>
      <c r="E217" s="60"/>
      <c r="F217" s="804"/>
      <c r="G217" s="805"/>
      <c r="H217" s="806"/>
      <c r="I217" s="807"/>
      <c r="J217" s="808"/>
      <c r="K217" s="889"/>
      <c r="L217" s="809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10"/>
      <c r="G218" s="811"/>
      <c r="H218" s="812"/>
      <c r="I218" s="813"/>
      <c r="J218" s="814"/>
      <c r="K218" s="890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10"/>
      <c r="G219" s="811"/>
      <c r="H219" s="812"/>
      <c r="I219" s="813"/>
      <c r="J219" s="814"/>
      <c r="K219" s="890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10"/>
      <c r="G220" s="811"/>
      <c r="H220" s="812"/>
      <c r="I220" s="813"/>
      <c r="J220" s="814"/>
      <c r="K220" s="890"/>
      <c r="L220" s="3"/>
      <c r="M220" s="674"/>
    </row>
    <row r="221" spans="1:18" s="4" customFormat="1" ht="25" customHeight="1">
      <c r="A221" s="3"/>
      <c r="B221" s="985" t="s">
        <v>313</v>
      </c>
      <c r="C221" s="985"/>
      <c r="D221" s="985"/>
      <c r="E221" s="985"/>
      <c r="F221" s="985"/>
      <c r="G221" s="985"/>
      <c r="H221" s="672"/>
      <c r="I221" s="815"/>
      <c r="J221" s="3"/>
      <c r="K221" s="861"/>
      <c r="L221" s="3"/>
      <c r="M221" s="674"/>
    </row>
    <row r="222" spans="1:18" s="4" customFormat="1" ht="25" customHeight="1">
      <c r="A222" s="3"/>
      <c r="B222" s="985"/>
      <c r="C222" s="985"/>
      <c r="D222" s="985"/>
      <c r="E222" s="985"/>
      <c r="F222" s="985"/>
      <c r="G222" s="985"/>
      <c r="H222" s="672"/>
      <c r="I222" s="815"/>
      <c r="J222" s="3"/>
      <c r="K222" s="861"/>
      <c r="L222" s="3"/>
      <c r="M222" s="674"/>
    </row>
    <row r="223" spans="1:18" s="4" customFormat="1" ht="25" customHeight="1">
      <c r="A223" s="3"/>
      <c r="B223" s="985"/>
      <c r="C223" s="985"/>
      <c r="D223" s="985"/>
      <c r="E223" s="985"/>
      <c r="F223" s="985"/>
      <c r="G223" s="985"/>
      <c r="H223" s="672"/>
      <c r="I223" s="815"/>
      <c r="J223" s="3"/>
      <c r="K223" s="861"/>
      <c r="L223" s="3"/>
      <c r="M223" s="674"/>
    </row>
    <row r="224" spans="1:18" s="4" customFormat="1" ht="25" customHeight="1">
      <c r="A224" s="3"/>
      <c r="B224" s="986" t="s">
        <v>608</v>
      </c>
      <c r="C224" s="986"/>
      <c r="D224" s="986"/>
      <c r="E224" s="986"/>
      <c r="F224" s="986"/>
      <c r="G224" s="3"/>
      <c r="H224" s="672"/>
      <c r="I224" s="815"/>
      <c r="J224" s="3"/>
      <c r="K224" s="861"/>
      <c r="L224" s="816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5"/>
      <c r="J225" s="3"/>
      <c r="K225" s="861"/>
      <c r="L225" s="816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5"/>
      <c r="J226" s="3"/>
      <c r="K226" s="861"/>
      <c r="L226" s="816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1"/>
      <c r="L227" s="816"/>
      <c r="M227" s="688"/>
    </row>
    <row r="228" spans="1:20" s="4" customFormat="1" ht="25" customHeight="1">
      <c r="A228" s="3"/>
      <c r="B228" s="965" t="s">
        <v>3</v>
      </c>
      <c r="C228" s="67"/>
      <c r="D228" s="67"/>
      <c r="E228" s="67"/>
      <c r="F228" s="67"/>
      <c r="G228" s="816"/>
      <c r="H228" s="817"/>
      <c r="I228" s="816"/>
      <c r="J228" s="818"/>
      <c r="K228" s="891"/>
      <c r="L228" s="816"/>
      <c r="M228" s="688"/>
    </row>
    <row r="229" spans="1:20" s="729" customFormat="1" ht="25" customHeight="1">
      <c r="A229" s="819"/>
      <c r="B229" s="916"/>
      <c r="C229" s="135"/>
      <c r="D229" s="135"/>
      <c r="E229" s="135"/>
      <c r="F229" s="135"/>
      <c r="G229" s="816"/>
      <c r="H229" s="817"/>
      <c r="I229" s="816"/>
      <c r="J229" s="818"/>
      <c r="K229" s="891"/>
      <c r="L229" s="819"/>
      <c r="M229" s="781"/>
      <c r="N229" s="820"/>
      <c r="O229" s="746"/>
      <c r="P229" s="746"/>
      <c r="Q229" s="746"/>
      <c r="R229" s="746"/>
      <c r="S229" s="746"/>
      <c r="T229" s="746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2"/>
      <c r="L230" s="821"/>
      <c r="M230" s="670"/>
      <c r="N230" s="28"/>
    </row>
    <row r="231" spans="1:20" ht="25" customHeight="1">
      <c r="A231" s="2"/>
      <c r="B231" s="855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2"/>
      <c r="I231" s="823"/>
      <c r="J231" s="666">
        <f>K64+K73+K55+K38+K82</f>
        <v>0</v>
      </c>
      <c r="K231" s="858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4"/>
      <c r="G232" s="825"/>
      <c r="H232" s="825"/>
      <c r="I232" s="826"/>
      <c r="J232" s="667">
        <f>K95</f>
        <v>0</v>
      </c>
      <c r="K232" s="858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4"/>
      <c r="G233" s="825"/>
      <c r="H233" s="825"/>
      <c r="I233" s="826"/>
      <c r="J233" s="667">
        <f>K119</f>
        <v>0</v>
      </c>
      <c r="K233" s="858"/>
      <c r="L233" s="2"/>
      <c r="M233" s="670"/>
      <c r="N233" s="28"/>
    </row>
    <row r="234" spans="1:20" s="830" customFormat="1" ht="25" customHeight="1">
      <c r="A234" s="827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8"/>
      <c r="H234" s="828"/>
      <c r="I234" s="775"/>
      <c r="J234" s="437">
        <f>K133</f>
        <v>0</v>
      </c>
      <c r="K234" s="858"/>
      <c r="L234" s="827"/>
      <c r="M234" s="829"/>
    </row>
    <row r="235" spans="1:20" s="836" customFormat="1" ht="25" customHeight="1">
      <c r="A235" s="831"/>
      <c r="B235" s="664" t="s">
        <v>222</v>
      </c>
      <c r="C235" s="659"/>
      <c r="D235" s="660"/>
      <c r="E235" s="660"/>
      <c r="F235" s="832"/>
      <c r="G235" s="833"/>
      <c r="H235" s="833"/>
      <c r="I235" s="834"/>
      <c r="J235" s="668">
        <f>SUM(J231:J234)</f>
        <v>0</v>
      </c>
      <c r="K235" s="893"/>
      <c r="L235" s="831"/>
      <c r="M235" s="835"/>
    </row>
    <row r="236" spans="1:20" ht="25" customHeight="1">
      <c r="A236" s="2"/>
      <c r="B236" s="421"/>
      <c r="C236" s="59"/>
      <c r="D236" s="59"/>
      <c r="E236" s="59"/>
      <c r="F236" s="837"/>
      <c r="G236" s="838"/>
      <c r="H236" s="838"/>
      <c r="I236" s="839"/>
      <c r="J236" s="839"/>
      <c r="K236" s="894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6"/>
      <c r="J237" s="751"/>
      <c r="K237" s="858"/>
      <c r="L237" s="2"/>
      <c r="M237" s="670"/>
    </row>
    <row r="238" spans="1:20" ht="25" customHeight="1">
      <c r="A238" s="840"/>
      <c r="B238" s="646"/>
      <c r="C238" s="42"/>
      <c r="D238" s="33"/>
      <c r="E238" s="34"/>
      <c r="F238" s="841"/>
      <c r="G238" s="828"/>
      <c r="H238" s="42"/>
      <c r="I238" s="842"/>
      <c r="J238" s="437"/>
      <c r="K238" s="596"/>
      <c r="L238" s="843"/>
      <c r="M238" s="670"/>
    </row>
    <row r="239" spans="1:20" s="112" customFormat="1" ht="25" customHeight="1">
      <c r="B239" s="647"/>
      <c r="C239" s="108"/>
      <c r="D239" s="109"/>
      <c r="E239" s="110"/>
      <c r="F239" s="844"/>
      <c r="G239" s="845"/>
      <c r="H239" s="108"/>
      <c r="I239" s="846"/>
      <c r="J239" s="847"/>
      <c r="K239" s="895"/>
    </row>
    <row r="240" spans="1:20" s="112" customFormat="1" ht="25" customHeight="1">
      <c r="B240" s="647"/>
      <c r="C240" s="108"/>
      <c r="D240" s="108"/>
      <c r="E240" s="108"/>
      <c r="F240" s="848"/>
      <c r="G240" s="849"/>
      <c r="H240" s="850"/>
      <c r="I240" s="850"/>
      <c r="J240" s="850"/>
      <c r="K240" s="896"/>
      <c r="L240" s="847"/>
      <c r="M240" s="847"/>
      <c r="N240" s="847"/>
    </row>
    <row r="241" spans="1:23" s="112" customFormat="1" ht="25" customHeight="1">
      <c r="B241" s="647"/>
      <c r="C241" s="108"/>
      <c r="D241" s="108"/>
      <c r="E241" s="108"/>
      <c r="F241" s="848"/>
      <c r="G241" s="849"/>
      <c r="H241" s="850"/>
      <c r="I241" s="850"/>
      <c r="J241" s="850"/>
      <c r="K241" s="896"/>
      <c r="L241" s="847"/>
      <c r="M241" s="847"/>
      <c r="N241" s="847"/>
    </row>
    <row r="242" spans="1:23" s="112" customFormat="1" ht="25" customHeight="1">
      <c r="B242" s="647"/>
      <c r="C242" s="108"/>
      <c r="D242" s="108"/>
      <c r="E242" s="108"/>
      <c r="F242" s="848"/>
      <c r="G242" s="849"/>
      <c r="H242" s="850"/>
      <c r="I242" s="850"/>
      <c r="J242" s="850"/>
      <c r="K242" s="896"/>
      <c r="L242" s="847"/>
      <c r="M242" s="847"/>
      <c r="N242" s="847"/>
    </row>
    <row r="243" spans="1:23" s="112" customFormat="1" ht="25" customHeight="1">
      <c r="B243" s="647"/>
      <c r="C243" s="108"/>
      <c r="D243" s="108"/>
      <c r="E243" s="108"/>
      <c r="F243" s="848"/>
      <c r="G243" s="849"/>
      <c r="H243" s="850"/>
      <c r="I243" s="850"/>
      <c r="J243" s="850"/>
      <c r="K243" s="896"/>
      <c r="L243" s="847"/>
      <c r="M243" s="847"/>
      <c r="N243" s="847"/>
    </row>
    <row r="244" spans="1:23" s="112" customFormat="1" ht="25" customHeight="1">
      <c r="B244" s="647"/>
      <c r="C244" s="108"/>
      <c r="D244" s="108"/>
      <c r="E244" s="108"/>
      <c r="F244" s="848"/>
      <c r="G244" s="849"/>
      <c r="H244" s="850"/>
      <c r="I244" s="850"/>
      <c r="J244" s="850"/>
      <c r="K244" s="896"/>
      <c r="L244" s="847"/>
      <c r="M244" s="847"/>
      <c r="N244" s="847"/>
    </row>
    <row r="245" spans="1:23" s="112" customFormat="1" ht="25" customHeight="1">
      <c r="B245" s="647"/>
      <c r="C245" s="108"/>
      <c r="D245" s="108"/>
      <c r="E245" s="108"/>
      <c r="F245" s="848"/>
      <c r="G245" s="849"/>
      <c r="H245" s="850"/>
      <c r="I245" s="850"/>
      <c r="J245" s="850"/>
      <c r="K245" s="896"/>
      <c r="L245" s="847"/>
      <c r="M245" s="847"/>
      <c r="N245" s="847"/>
    </row>
    <row r="246" spans="1:23" s="112" customFormat="1" ht="25" customHeight="1">
      <c r="B246" s="647"/>
      <c r="C246" s="108"/>
      <c r="D246" s="108"/>
      <c r="E246" s="108"/>
      <c r="F246" s="848"/>
      <c r="G246" s="849"/>
      <c r="H246" s="850"/>
      <c r="I246" s="850"/>
      <c r="J246" s="850"/>
      <c r="K246" s="896"/>
      <c r="L246" s="847"/>
      <c r="M246" s="847"/>
      <c r="N246" s="847"/>
    </row>
    <row r="247" spans="1:23" s="112" customFormat="1" ht="25" customHeight="1">
      <c r="B247" s="647"/>
      <c r="C247" s="108"/>
      <c r="D247" s="108"/>
      <c r="E247" s="108"/>
      <c r="F247" s="848"/>
      <c r="G247" s="849"/>
      <c r="H247" s="850"/>
      <c r="I247" s="850"/>
      <c r="J247" s="850"/>
      <c r="K247" s="896"/>
      <c r="L247" s="847"/>
      <c r="M247" s="847"/>
      <c r="N247" s="847"/>
    </row>
    <row r="248" spans="1:23" s="112" customFormat="1" ht="25" customHeight="1">
      <c r="B248" s="647"/>
      <c r="C248" s="108"/>
      <c r="D248" s="108"/>
      <c r="E248" s="108"/>
      <c r="F248" s="848"/>
      <c r="G248" s="849"/>
      <c r="H248" s="850"/>
      <c r="I248" s="850"/>
      <c r="J248" s="850"/>
      <c r="K248" s="896"/>
      <c r="L248" s="847"/>
      <c r="M248" s="847"/>
      <c r="N248" s="847"/>
    </row>
    <row r="249" spans="1:23" s="851" customFormat="1" ht="25" customHeight="1">
      <c r="A249" s="112"/>
      <c r="B249" s="647"/>
      <c r="C249" s="108"/>
      <c r="D249" s="108"/>
      <c r="E249" s="108"/>
      <c r="F249" s="848"/>
      <c r="G249" s="849"/>
      <c r="H249" s="850"/>
      <c r="I249" s="850"/>
      <c r="J249" s="850"/>
      <c r="K249" s="896"/>
      <c r="L249" s="847"/>
      <c r="M249" s="847"/>
      <c r="N249" s="847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8"/>
      <c r="G250" s="849"/>
      <c r="H250" s="850"/>
      <c r="I250" s="850"/>
      <c r="J250" s="850"/>
      <c r="K250" s="896"/>
      <c r="L250" s="847"/>
      <c r="M250" s="847"/>
      <c r="N250" s="847"/>
    </row>
    <row r="251" spans="1:23" s="112" customFormat="1" ht="25" customHeight="1">
      <c r="B251" s="647"/>
      <c r="C251" s="108"/>
      <c r="D251" s="108"/>
      <c r="E251" s="108"/>
      <c r="F251" s="848"/>
      <c r="G251" s="849"/>
      <c r="H251" s="850"/>
      <c r="I251" s="850"/>
      <c r="J251" s="850"/>
      <c r="K251" s="896"/>
      <c r="L251" s="847"/>
      <c r="M251" s="847"/>
      <c r="N251" s="847"/>
    </row>
    <row r="252" spans="1:23" s="112" customFormat="1" ht="25" customHeight="1">
      <c r="B252" s="647"/>
      <c r="C252" s="108"/>
      <c r="D252" s="108"/>
      <c r="E252" s="108"/>
      <c r="F252" s="848"/>
      <c r="G252" s="849"/>
      <c r="H252" s="850"/>
      <c r="I252" s="850"/>
      <c r="J252" s="850"/>
      <c r="K252" s="896"/>
      <c r="L252" s="847"/>
      <c r="M252" s="847"/>
      <c r="N252" s="847"/>
    </row>
    <row r="253" spans="1:23" s="112" customFormat="1" ht="25" customHeight="1">
      <c r="B253" s="647"/>
      <c r="C253" s="108"/>
      <c r="D253" s="108"/>
      <c r="E253" s="108"/>
      <c r="F253" s="848"/>
      <c r="G253" s="849"/>
      <c r="H253" s="850"/>
      <c r="I253" s="850"/>
      <c r="J253" s="850"/>
      <c r="K253" s="896"/>
      <c r="L253" s="847"/>
      <c r="M253" s="847"/>
      <c r="N253" s="847"/>
    </row>
    <row r="254" spans="1:23" s="112" customFormat="1" ht="25" customHeight="1">
      <c r="B254" s="647"/>
      <c r="C254" s="108"/>
      <c r="D254" s="108"/>
      <c r="E254" s="108"/>
      <c r="F254" s="848"/>
      <c r="G254" s="849"/>
      <c r="H254" s="850"/>
      <c r="I254" s="850"/>
      <c r="J254" s="850"/>
      <c r="K254" s="896"/>
      <c r="L254" s="847"/>
      <c r="M254" s="847"/>
      <c r="N254" s="847"/>
    </row>
    <row r="255" spans="1:23" s="112" customFormat="1" ht="25" customHeight="1">
      <c r="B255" s="647"/>
      <c r="C255" s="108"/>
      <c r="D255" s="108"/>
      <c r="E255" s="108"/>
      <c r="F255" s="848"/>
      <c r="G255" s="849"/>
      <c r="H255" s="850"/>
      <c r="I255" s="850"/>
      <c r="J255" s="850"/>
      <c r="K255" s="896"/>
      <c r="L255" s="847"/>
      <c r="M255" s="847"/>
      <c r="N255" s="847"/>
    </row>
    <row r="256" spans="1:23" s="112" customFormat="1" ht="25" customHeight="1">
      <c r="B256" s="647"/>
      <c r="C256" s="108"/>
      <c r="D256" s="108"/>
      <c r="E256" s="108"/>
      <c r="F256" s="848"/>
      <c r="G256" s="849"/>
      <c r="H256" s="850"/>
      <c r="I256" s="850"/>
      <c r="J256" s="850"/>
      <c r="K256" s="896"/>
      <c r="L256" s="847"/>
      <c r="M256" s="847"/>
      <c r="N256" s="847"/>
    </row>
    <row r="257" spans="2:14" s="112" customFormat="1" ht="25" customHeight="1">
      <c r="B257" s="647"/>
      <c r="C257" s="108"/>
      <c r="D257" s="108"/>
      <c r="E257" s="108"/>
      <c r="F257" s="848"/>
      <c r="G257" s="849"/>
      <c r="H257" s="850"/>
      <c r="I257" s="850"/>
      <c r="J257" s="850"/>
      <c r="K257" s="896"/>
      <c r="L257" s="847"/>
      <c r="M257" s="847"/>
      <c r="N257" s="847"/>
    </row>
    <row r="258" spans="2:14" s="112" customFormat="1" ht="25" customHeight="1">
      <c r="B258" s="647"/>
      <c r="C258" s="108"/>
      <c r="D258" s="108"/>
      <c r="E258" s="108"/>
      <c r="F258" s="848"/>
      <c r="G258" s="849"/>
      <c r="H258" s="850"/>
      <c r="I258" s="850"/>
      <c r="J258" s="850"/>
      <c r="K258" s="896"/>
      <c r="L258" s="847"/>
      <c r="M258" s="847"/>
      <c r="N258" s="847"/>
    </row>
    <row r="259" spans="2:14" s="112" customFormat="1" ht="25" customHeight="1">
      <c r="B259" s="647"/>
      <c r="C259" s="108"/>
      <c r="D259" s="108"/>
      <c r="E259" s="108"/>
      <c r="F259" s="848"/>
      <c r="G259" s="849"/>
      <c r="H259" s="850"/>
      <c r="I259" s="850"/>
      <c r="J259" s="850"/>
      <c r="K259" s="896"/>
      <c r="L259" s="847"/>
      <c r="M259" s="847"/>
      <c r="N259" s="847"/>
    </row>
    <row r="260" spans="2:14" s="112" customFormat="1" ht="25" customHeight="1">
      <c r="B260" s="647"/>
      <c r="C260" s="108"/>
      <c r="D260" s="108"/>
      <c r="E260" s="108"/>
      <c r="F260" s="848"/>
      <c r="G260" s="849"/>
      <c r="H260" s="850"/>
      <c r="I260" s="850"/>
      <c r="J260" s="850"/>
      <c r="K260" s="896"/>
      <c r="L260" s="847"/>
      <c r="M260" s="847"/>
      <c r="N260" s="847"/>
    </row>
    <row r="261" spans="2:14" s="112" customFormat="1" ht="25" customHeight="1">
      <c r="B261" s="647"/>
      <c r="C261" s="108"/>
      <c r="D261" s="108"/>
      <c r="E261" s="108"/>
      <c r="F261" s="848"/>
      <c r="G261" s="849"/>
      <c r="H261" s="850"/>
      <c r="I261" s="850"/>
      <c r="J261" s="850"/>
      <c r="K261" s="896"/>
      <c r="L261" s="847"/>
      <c r="M261" s="847"/>
      <c r="N261" s="847"/>
    </row>
    <row r="262" spans="2:14" s="112" customFormat="1" ht="25" customHeight="1">
      <c r="B262" s="647"/>
      <c r="C262" s="108"/>
      <c r="D262" s="108"/>
      <c r="E262" s="108"/>
      <c r="F262" s="848"/>
      <c r="G262" s="849"/>
      <c r="H262" s="850"/>
      <c r="I262" s="850"/>
      <c r="J262" s="850"/>
      <c r="K262" s="896"/>
      <c r="L262" s="847"/>
      <c r="M262" s="847"/>
      <c r="N262" s="847"/>
    </row>
    <row r="263" spans="2:14" s="112" customFormat="1" ht="25" customHeight="1">
      <c r="B263" s="647"/>
      <c r="C263" s="108"/>
      <c r="D263" s="108"/>
      <c r="E263" s="108"/>
      <c r="F263" s="848"/>
      <c r="G263" s="849"/>
      <c r="H263" s="850"/>
      <c r="I263" s="850"/>
      <c r="J263" s="850"/>
      <c r="K263" s="896"/>
      <c r="L263" s="847"/>
      <c r="M263" s="847"/>
      <c r="N263" s="847"/>
    </row>
    <row r="264" spans="2:14" s="112" customFormat="1" ht="25" customHeight="1">
      <c r="B264" s="647"/>
      <c r="C264" s="108"/>
      <c r="D264" s="108"/>
      <c r="E264" s="108"/>
      <c r="F264" s="848"/>
      <c r="G264" s="849"/>
      <c r="H264" s="850"/>
      <c r="I264" s="850"/>
      <c r="J264" s="850"/>
      <c r="K264" s="896"/>
      <c r="L264" s="847"/>
      <c r="M264" s="847"/>
      <c r="N264" s="847"/>
    </row>
    <row r="265" spans="2:14" s="112" customFormat="1" ht="25" customHeight="1">
      <c r="B265" s="647"/>
      <c r="C265" s="108"/>
      <c r="D265" s="108"/>
      <c r="E265" s="108"/>
      <c r="F265" s="848"/>
      <c r="G265" s="849"/>
      <c r="H265" s="850"/>
      <c r="I265" s="850"/>
      <c r="J265" s="850"/>
      <c r="K265" s="896"/>
      <c r="L265" s="847"/>
      <c r="M265" s="847"/>
      <c r="N265" s="847"/>
    </row>
    <row r="266" spans="2:14" s="112" customFormat="1" ht="25" customHeight="1">
      <c r="B266" s="647"/>
      <c r="C266" s="108"/>
      <c r="D266" s="108"/>
      <c r="E266" s="108"/>
      <c r="F266" s="848"/>
      <c r="G266" s="849"/>
      <c r="H266" s="850"/>
      <c r="I266" s="850"/>
      <c r="J266" s="850"/>
      <c r="K266" s="896"/>
      <c r="L266" s="847"/>
      <c r="M266" s="847"/>
      <c r="N266" s="847"/>
    </row>
    <row r="267" spans="2:14" s="112" customFormat="1" ht="25" customHeight="1">
      <c r="B267" s="647"/>
      <c r="C267" s="108"/>
      <c r="D267" s="108"/>
      <c r="E267" s="108"/>
      <c r="F267" s="848"/>
      <c r="G267" s="849"/>
      <c r="H267" s="850"/>
      <c r="I267" s="850"/>
      <c r="J267" s="850"/>
      <c r="K267" s="896"/>
      <c r="L267" s="847"/>
      <c r="M267" s="847"/>
      <c r="N267" s="847"/>
    </row>
    <row r="268" spans="2:14" s="112" customFormat="1" ht="25" customHeight="1">
      <c r="B268" s="647"/>
      <c r="C268" s="108"/>
      <c r="D268" s="108"/>
      <c r="E268" s="108"/>
      <c r="F268" s="848"/>
      <c r="G268" s="849"/>
      <c r="H268" s="850"/>
      <c r="I268" s="850"/>
      <c r="J268" s="850"/>
      <c r="K268" s="896"/>
      <c r="L268" s="847"/>
      <c r="M268" s="847"/>
      <c r="N268" s="847"/>
    </row>
    <row r="269" spans="2:14" s="112" customFormat="1" ht="25" customHeight="1">
      <c r="B269" s="648"/>
      <c r="K269" s="896"/>
      <c r="M269" s="852"/>
    </row>
    <row r="270" spans="2:14" s="112" customFormat="1" ht="25" customHeight="1">
      <c r="B270" s="648"/>
      <c r="K270" s="896"/>
      <c r="M270" s="852"/>
    </row>
    <row r="271" spans="2:14" s="112" customFormat="1" ht="25" customHeight="1">
      <c r="B271" s="648"/>
      <c r="K271" s="896"/>
      <c r="M271" s="852"/>
    </row>
    <row r="272" spans="2:14" s="112" customFormat="1" ht="25" customHeight="1">
      <c r="B272" s="648"/>
      <c r="K272" s="896"/>
      <c r="M272" s="852"/>
    </row>
    <row r="273" spans="2:13" s="112" customFormat="1" ht="25" customHeight="1">
      <c r="B273" s="648"/>
      <c r="K273" s="896"/>
      <c r="M273" s="852"/>
    </row>
    <row r="274" spans="2:13" s="112" customFormat="1" ht="25" customHeight="1">
      <c r="B274" s="648"/>
      <c r="K274" s="896"/>
      <c r="M274" s="852"/>
    </row>
    <row r="275" spans="2:13" s="112" customFormat="1" ht="25" customHeight="1">
      <c r="B275" s="648"/>
      <c r="K275" s="896"/>
      <c r="M275" s="852"/>
    </row>
    <row r="276" spans="2:13" s="112" customFormat="1" ht="25" customHeight="1">
      <c r="B276" s="648"/>
      <c r="K276" s="896"/>
      <c r="M276" s="852"/>
    </row>
    <row r="277" spans="2:13" s="112" customFormat="1" ht="25" customHeight="1">
      <c r="B277" s="648"/>
      <c r="K277" s="896"/>
      <c r="M277" s="852"/>
    </row>
    <row r="278" spans="2:13" s="112" customFormat="1" ht="25" customHeight="1">
      <c r="B278" s="648"/>
      <c r="K278" s="896"/>
      <c r="M278" s="852"/>
    </row>
    <row r="279" spans="2:13" s="112" customFormat="1" ht="25" customHeight="1">
      <c r="B279" s="648"/>
      <c r="K279" s="896"/>
      <c r="M279" s="852"/>
    </row>
    <row r="280" spans="2:13" s="112" customFormat="1" ht="25" customHeight="1">
      <c r="B280" s="648"/>
      <c r="K280" s="896"/>
      <c r="M280" s="852"/>
    </row>
    <row r="281" spans="2:13" s="112" customFormat="1" ht="25" customHeight="1">
      <c r="B281" s="648"/>
      <c r="K281" s="896"/>
      <c r="M281" s="852"/>
    </row>
    <row r="282" spans="2:13" s="112" customFormat="1" ht="25" customHeight="1">
      <c r="B282" s="648"/>
      <c r="K282" s="896"/>
      <c r="M282" s="852"/>
    </row>
    <row r="283" spans="2:13" s="112" customFormat="1" ht="25" customHeight="1">
      <c r="B283" s="648"/>
      <c r="K283" s="896"/>
      <c r="M283" s="852"/>
    </row>
    <row r="284" spans="2:13" s="112" customFormat="1" ht="25" customHeight="1">
      <c r="B284" s="648"/>
      <c r="K284" s="896"/>
      <c r="M284" s="852"/>
    </row>
    <row r="285" spans="2:13" s="112" customFormat="1" ht="25" customHeight="1">
      <c r="B285" s="648"/>
      <c r="K285" s="896"/>
      <c r="M285" s="852"/>
    </row>
    <row r="286" spans="2:13" s="112" customFormat="1" ht="25" customHeight="1">
      <c r="B286" s="648"/>
      <c r="K286" s="896"/>
      <c r="M286" s="852"/>
    </row>
    <row r="287" spans="2:13" s="112" customFormat="1" ht="25" customHeight="1">
      <c r="B287" s="648"/>
      <c r="K287" s="896"/>
      <c r="M287" s="852"/>
    </row>
    <row r="288" spans="2:13" s="112" customFormat="1" ht="25" customHeight="1">
      <c r="B288" s="648"/>
      <c r="K288" s="896"/>
      <c r="M288" s="852"/>
    </row>
    <row r="289" spans="2:13" s="112" customFormat="1" ht="25" customHeight="1">
      <c r="B289" s="648"/>
      <c r="K289" s="896"/>
      <c r="M289" s="852"/>
    </row>
    <row r="290" spans="2:13" s="112" customFormat="1" ht="25" customHeight="1">
      <c r="B290" s="648"/>
      <c r="K290" s="896"/>
      <c r="M290" s="852"/>
    </row>
    <row r="291" spans="2:13" s="112" customFormat="1" ht="25" customHeight="1">
      <c r="B291" s="648"/>
      <c r="K291" s="896"/>
      <c r="M291" s="852"/>
    </row>
    <row r="292" spans="2:13" s="112" customFormat="1" ht="25" customHeight="1">
      <c r="B292" s="648"/>
      <c r="K292" s="896"/>
      <c r="M292" s="852"/>
    </row>
    <row r="293" spans="2:13" s="112" customFormat="1" ht="25" customHeight="1">
      <c r="B293" s="648"/>
      <c r="K293" s="896"/>
      <c r="M293" s="852"/>
    </row>
    <row r="294" spans="2:13" s="112" customFormat="1" ht="25" customHeight="1">
      <c r="B294" s="648"/>
      <c r="K294" s="896"/>
      <c r="M294" s="852"/>
    </row>
    <row r="295" spans="2:13" s="112" customFormat="1" ht="25" customHeight="1">
      <c r="B295" s="648"/>
      <c r="K295" s="896"/>
      <c r="M295" s="852"/>
    </row>
    <row r="296" spans="2:13" s="112" customFormat="1" ht="25" customHeight="1">
      <c r="B296" s="648"/>
      <c r="K296" s="896"/>
      <c r="M296" s="852"/>
    </row>
    <row r="297" spans="2:13" s="112" customFormat="1" ht="25" customHeight="1">
      <c r="B297" s="648"/>
      <c r="K297" s="896"/>
      <c r="M297" s="852"/>
    </row>
    <row r="298" spans="2:13" s="112" customFormat="1" ht="25" customHeight="1">
      <c r="B298" s="648"/>
      <c r="K298" s="896"/>
      <c r="M298" s="852"/>
    </row>
    <row r="299" spans="2:13" s="112" customFormat="1" ht="25" customHeight="1">
      <c r="B299" s="648"/>
      <c r="K299" s="896"/>
      <c r="M299" s="852"/>
    </row>
    <row r="300" spans="2:13" s="112" customFormat="1" ht="25" customHeight="1">
      <c r="B300" s="648"/>
      <c r="K300" s="896"/>
      <c r="M300" s="852"/>
    </row>
    <row r="301" spans="2:13" s="112" customFormat="1" ht="25" customHeight="1">
      <c r="B301" s="648"/>
      <c r="K301" s="896"/>
      <c r="M301" s="852"/>
    </row>
    <row r="302" spans="2:13" s="112" customFormat="1" ht="25" customHeight="1">
      <c r="B302" s="648"/>
      <c r="K302" s="896"/>
      <c r="M302" s="852"/>
    </row>
    <row r="303" spans="2:13" s="112" customFormat="1" ht="25" customHeight="1">
      <c r="B303" s="648"/>
      <c r="K303" s="896"/>
      <c r="M303" s="852"/>
    </row>
    <row r="304" spans="2:13" s="112" customFormat="1" ht="25" customHeight="1">
      <c r="B304" s="648"/>
      <c r="K304" s="896"/>
      <c r="M304" s="852"/>
    </row>
    <row r="305" spans="2:13" s="112" customFormat="1" ht="25" customHeight="1">
      <c r="B305" s="648"/>
      <c r="K305" s="896"/>
      <c r="M305" s="852"/>
    </row>
    <row r="306" spans="2:13" s="112" customFormat="1" ht="25" customHeight="1">
      <c r="B306" s="648"/>
      <c r="K306" s="896"/>
      <c r="M306" s="852"/>
    </row>
    <row r="307" spans="2:13" s="112" customFormat="1" ht="25" customHeight="1">
      <c r="B307" s="648"/>
      <c r="K307" s="896"/>
      <c r="M307" s="852"/>
    </row>
    <row r="308" spans="2:13" s="112" customFormat="1" ht="25" customHeight="1">
      <c r="B308" s="648"/>
      <c r="K308" s="896"/>
      <c r="M308" s="852"/>
    </row>
    <row r="309" spans="2:13" s="112" customFormat="1" ht="25" customHeight="1">
      <c r="B309" s="648"/>
      <c r="K309" s="896"/>
      <c r="M309" s="852"/>
    </row>
    <row r="310" spans="2:13" s="112" customFormat="1" ht="25" customHeight="1">
      <c r="B310" s="648"/>
      <c r="K310" s="896"/>
      <c r="M310" s="852"/>
    </row>
    <row r="311" spans="2:13" s="112" customFormat="1" ht="25" customHeight="1">
      <c r="B311" s="648"/>
      <c r="K311" s="896"/>
      <c r="M311" s="852"/>
    </row>
    <row r="312" spans="2:13" s="112" customFormat="1" ht="25" customHeight="1">
      <c r="B312" s="648"/>
      <c r="K312" s="896"/>
      <c r="M312" s="852"/>
    </row>
    <row r="313" spans="2:13" s="112" customFormat="1" ht="25" customHeight="1">
      <c r="B313" s="648"/>
      <c r="K313" s="896"/>
      <c r="M313" s="852"/>
    </row>
    <row r="314" spans="2:13" s="112" customFormat="1" ht="25" customHeight="1">
      <c r="B314" s="648"/>
      <c r="K314" s="896"/>
      <c r="M314" s="852"/>
    </row>
    <row r="315" spans="2:13" s="112" customFormat="1" ht="25" customHeight="1">
      <c r="B315" s="648"/>
      <c r="K315" s="896"/>
      <c r="M315" s="852"/>
    </row>
    <row r="316" spans="2:13" s="112" customFormat="1" ht="25" customHeight="1">
      <c r="B316" s="648"/>
      <c r="K316" s="896"/>
      <c r="M316" s="852"/>
    </row>
    <row r="317" spans="2:13" s="112" customFormat="1" ht="25" customHeight="1">
      <c r="B317" s="648"/>
      <c r="K317" s="896"/>
      <c r="M317" s="852"/>
    </row>
    <row r="318" spans="2:13" s="112" customFormat="1" ht="25" customHeight="1">
      <c r="B318" s="648"/>
      <c r="K318" s="896"/>
      <c r="M318" s="852"/>
    </row>
    <row r="319" spans="2:13" s="112" customFormat="1" ht="25" customHeight="1">
      <c r="B319" s="648"/>
      <c r="K319" s="896"/>
      <c r="M319" s="852"/>
    </row>
    <row r="331" spans="2:4" ht="25" customHeight="1">
      <c r="B331" s="649"/>
      <c r="C331" s="38"/>
      <c r="D331" s="96"/>
    </row>
  </sheetData>
  <sheetProtection algorithmName="SHA-512" hashValue="WtV2qXjmbX+mSyoub3Hn+5UjmRbW/gcAJNnjs3yeWcvbZHyYdTLRDMNB+HNMWyoH8rM0X3uIH7dlSDpeeyzZBA==" saltValue="GwjxurC///7Kwt4FO27M3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2" t="str">
        <f>"1 SEK = "&amp;NOK&amp;" NOK"</f>
        <v>1 SEK = 1 NOK</v>
      </c>
      <c r="E11" s="1022"/>
      <c r="F11" s="102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1" t="s">
        <v>266</v>
      </c>
      <c r="C19" s="1021"/>
      <c r="D19" s="1021"/>
      <c r="E19" s="1021"/>
      <c r="F19" s="102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3" t="s">
        <v>277</v>
      </c>
      <c r="G88" s="1013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3">
        <f>VOLUME_large_SEK</f>
        <v>1.2</v>
      </c>
      <c r="G89" s="1073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1">
        <f>VOLUME_fast_SEK</f>
        <v>3.6</v>
      </c>
      <c r="G90" s="1071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179"/>
      <c r="O95" s="168"/>
    </row>
    <row r="96" spans="2:23" s="169" customFormat="1" ht="25.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179"/>
      <c r="O96" s="168"/>
    </row>
    <row r="97" spans="2:23" s="169" customFormat="1" ht="25.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179"/>
      <c r="O97" s="168"/>
    </row>
    <row r="98" spans="2:23" s="169" customFormat="1" ht="25.5" customHeight="1">
      <c r="B98" s="1069" t="s">
        <v>279</v>
      </c>
      <c r="C98" s="1069"/>
      <c r="D98" s="1069"/>
      <c r="E98" s="1069"/>
      <c r="F98" s="1069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1" t="s">
        <v>280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3" t="s">
        <v>283</v>
      </c>
      <c r="E102" s="1013"/>
      <c r="F102" s="1013"/>
      <c r="G102" s="1013"/>
      <c r="H102" s="1013"/>
      <c r="I102" s="1013"/>
      <c r="J102" s="1013"/>
      <c r="K102" s="1013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2">
        <f>S3_storage.50_SEK</f>
        <v>350</v>
      </c>
      <c r="E103" s="1072"/>
      <c r="F103" s="1072"/>
      <c r="G103" s="1072"/>
      <c r="H103" s="1072"/>
      <c r="I103" s="1072"/>
      <c r="J103" s="1072"/>
      <c r="K103" s="1072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7">
        <f>S3_storage.100_SEK</f>
        <v>270</v>
      </c>
      <c r="E104" s="1067"/>
      <c r="F104" s="1067"/>
      <c r="G104" s="1067"/>
      <c r="H104" s="1067"/>
      <c r="I104" s="1067"/>
      <c r="J104" s="1067"/>
      <c r="K104" s="1067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0">
        <f>S3_storage.500_SEK</f>
        <v>200</v>
      </c>
      <c r="E105" s="1070"/>
      <c r="F105" s="1070"/>
      <c r="G105" s="1070"/>
      <c r="H105" s="1070"/>
      <c r="I105" s="1070"/>
      <c r="J105" s="1070"/>
      <c r="K105" s="1070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7">
        <f>S3_storage.1000_SEK</f>
        <v>185</v>
      </c>
      <c r="E106" s="1067"/>
      <c r="F106" s="1067"/>
      <c r="G106" s="1067"/>
      <c r="H106" s="1067"/>
      <c r="I106" s="1067"/>
      <c r="J106" s="1067"/>
      <c r="K106" s="1067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68" t="str">
        <f>S3_storage.quote_SEK</f>
        <v>Be om offert</v>
      </c>
      <c r="E107" s="1068"/>
      <c r="F107" s="1068"/>
      <c r="G107" s="1068"/>
      <c r="H107" s="1068"/>
      <c r="I107" s="1068"/>
      <c r="J107" s="1068"/>
      <c r="K107" s="1068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4" t="s">
        <v>86</v>
      </c>
      <c r="C116" s="994"/>
      <c r="D116" s="994"/>
      <c r="E116" s="994"/>
      <c r="F116" s="994"/>
      <c r="G116" s="99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4"/>
      <c r="C117" s="994"/>
      <c r="D117" s="994"/>
      <c r="E117" s="994"/>
      <c r="F117" s="994"/>
      <c r="G117" s="99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4"/>
      <c r="C118" s="994"/>
      <c r="D118" s="994"/>
      <c r="E118" s="994"/>
      <c r="F118" s="994"/>
      <c r="G118" s="99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69" t="s">
        <v>284</v>
      </c>
      <c r="C119" s="1069"/>
      <c r="D119" s="1069"/>
      <c r="E119" s="1069"/>
      <c r="F119" s="1069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1" t="s">
        <v>285</v>
      </c>
      <c r="C120" s="1021"/>
      <c r="D120" s="1021"/>
      <c r="E120" s="1021"/>
      <c r="F120" s="102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3" t="s">
        <v>286</v>
      </c>
      <c r="D123" s="1013"/>
      <c r="E123" s="131" t="s">
        <v>268</v>
      </c>
      <c r="F123" s="1013" t="s">
        <v>277</v>
      </c>
      <c r="G123" s="1013"/>
      <c r="H123" s="266" t="s">
        <v>90</v>
      </c>
      <c r="I123" s="265"/>
      <c r="J123" s="1027" t="s">
        <v>287</v>
      </c>
      <c r="K123" s="1027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1">
        <f>BAAS_on.demand_SEK</f>
        <v>2.4500000000000002</v>
      </c>
      <c r="G124" s="1062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3">
        <f>BAAS_small_SEK</f>
        <v>1.75</v>
      </c>
      <c r="G125" s="1064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5">
        <f>BAAS_large_SEK</f>
        <v>0.92</v>
      </c>
      <c r="G126" s="1066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4" t="s">
        <v>292</v>
      </c>
      <c r="C137" s="994"/>
      <c r="D137" s="994"/>
      <c r="E137" s="994"/>
      <c r="F137" s="994"/>
      <c r="G137" s="99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4"/>
      <c r="C138" s="994"/>
      <c r="D138" s="994"/>
      <c r="E138" s="994"/>
      <c r="F138" s="994"/>
      <c r="G138" s="99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4"/>
      <c r="C139" s="994"/>
      <c r="D139" s="994"/>
      <c r="E139" s="994"/>
      <c r="F139" s="994"/>
      <c r="G139" s="99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1" t="s">
        <v>285</v>
      </c>
      <c r="C140" s="1021"/>
      <c r="D140" s="1021"/>
      <c r="E140" s="1021"/>
      <c r="F140" s="102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6"/>
      <c r="C141" s="996"/>
      <c r="D141" s="996"/>
      <c r="E141" s="996"/>
      <c r="F141" s="99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4" t="s">
        <v>300</v>
      </c>
      <c r="C176" s="994"/>
      <c r="D176" s="994"/>
      <c r="E176" s="994"/>
      <c r="F176" s="994"/>
      <c r="G176" s="99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4"/>
      <c r="C177" s="994"/>
      <c r="D177" s="994"/>
      <c r="E177" s="994"/>
      <c r="F177" s="994"/>
      <c r="G177" s="99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4"/>
      <c r="C178" s="994"/>
      <c r="D178" s="994"/>
      <c r="E178" s="994"/>
      <c r="F178" s="994"/>
      <c r="G178" s="99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1" t="s">
        <v>285</v>
      </c>
      <c r="C179" s="1021"/>
      <c r="D179" s="1021"/>
      <c r="E179" s="1021"/>
      <c r="F179" s="102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6"/>
      <c r="C180" s="996"/>
      <c r="D180" s="996"/>
      <c r="E180" s="996"/>
      <c r="F180" s="99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7" t="s">
        <v>313</v>
      </c>
      <c r="C211" s="997"/>
      <c r="D211" s="997"/>
      <c r="E211" s="997"/>
      <c r="F211" s="997"/>
      <c r="G211" s="99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7"/>
      <c r="C212" s="997"/>
      <c r="D212" s="997"/>
      <c r="E212" s="997"/>
      <c r="F212" s="997"/>
      <c r="G212" s="99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7"/>
      <c r="C213" s="997"/>
      <c r="D213" s="997"/>
      <c r="E213" s="997"/>
      <c r="F213" s="997"/>
      <c r="G213" s="99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59" t="s">
        <v>314</v>
      </c>
      <c r="C214" s="1059"/>
      <c r="D214" s="1059"/>
      <c r="E214" s="1059"/>
      <c r="F214" s="1059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0" t="str">
        <f>SUM(E67)&amp;" GB NVME-Disk"</f>
        <v>0 GB NVME-Disk</v>
      </c>
      <c r="G221" s="1060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6" t="s">
        <v>205</v>
      </c>
      <c r="C19" s="996"/>
      <c r="D19" s="996"/>
      <c r="E19" s="996"/>
      <c r="F19" s="99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3" t="s">
        <v>221</v>
      </c>
      <c r="G98" s="1013"/>
      <c r="H98" s="1027"/>
      <c r="I98" s="1027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3">
        <f>VOLUME_large_SEK</f>
        <v>1.2</v>
      </c>
      <c r="G99" s="1073"/>
      <c r="H99" s="1076"/>
      <c r="I99" s="1076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1">
        <f>VOLUME_fast_SEK</f>
        <v>3.6</v>
      </c>
      <c r="G100" s="1071"/>
      <c r="H100" s="1078"/>
      <c r="I100" s="1078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4" t="s">
        <v>344</v>
      </c>
      <c r="C105" s="994"/>
      <c r="D105" s="994"/>
      <c r="E105" s="994"/>
      <c r="F105" s="994"/>
      <c r="G105" s="99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4"/>
      <c r="C106" s="994"/>
      <c r="D106" s="994"/>
      <c r="E106" s="994"/>
      <c r="F106" s="994"/>
      <c r="G106" s="99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4"/>
      <c r="C107" s="994"/>
      <c r="D107" s="994"/>
      <c r="E107" s="994"/>
      <c r="F107" s="994"/>
      <c r="G107" s="99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3" t="s">
        <v>223</v>
      </c>
      <c r="C108" s="1043"/>
      <c r="D108" s="1043"/>
      <c r="E108" s="1043"/>
      <c r="F108" s="104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1" t="s">
        <v>345</v>
      </c>
      <c r="C109" s="1021"/>
      <c r="D109" s="1021"/>
      <c r="E109" s="1021"/>
      <c r="F109" s="102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3" t="s">
        <v>346</v>
      </c>
      <c r="E112" s="1013"/>
      <c r="F112" s="1013"/>
      <c r="G112" s="1013"/>
      <c r="H112" s="1013"/>
      <c r="I112" s="1013"/>
      <c r="J112" s="1013"/>
      <c r="K112" s="1013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79">
        <f>S3_storage.50_SUNET</f>
        <v>0.35</v>
      </c>
      <c r="E113" s="1079"/>
      <c r="F113" s="1072"/>
      <c r="G113" s="1072"/>
      <c r="H113" s="1072"/>
      <c r="I113" s="1072"/>
      <c r="J113" s="1072"/>
      <c r="K113" s="1072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7">
        <f>S3_storage.100_SUNET</f>
        <v>0.19</v>
      </c>
      <c r="E114" s="1077"/>
      <c r="F114" s="1067"/>
      <c r="G114" s="1067"/>
      <c r="H114" s="1067"/>
      <c r="I114" s="1067"/>
      <c r="J114" s="1067"/>
      <c r="K114" s="1067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0">
        <f>S3_storage.500_SUNET</f>
        <v>0.1</v>
      </c>
      <c r="E115" s="1080"/>
      <c r="F115" s="1070"/>
      <c r="G115" s="1070"/>
      <c r="H115" s="1070"/>
      <c r="I115" s="1070"/>
      <c r="J115" s="1070"/>
      <c r="K115" s="1070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7">
        <f>S3_storage.1000_SUNET</f>
        <v>0.06</v>
      </c>
      <c r="E116" s="1077"/>
      <c r="F116" s="1067"/>
      <c r="G116" s="1067"/>
      <c r="H116" s="1067"/>
      <c r="I116" s="1067"/>
      <c r="J116" s="1067"/>
      <c r="K116" s="1067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1" t="str">
        <f>S3_storage.quote_SUNET</f>
        <v>Be om offert</v>
      </c>
      <c r="E117" s="1081"/>
      <c r="F117" s="1068"/>
      <c r="G117" s="1068"/>
      <c r="H117" s="1068"/>
      <c r="I117" s="1068"/>
      <c r="J117" s="1068"/>
      <c r="K117" s="1068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3" t="s">
        <v>221</v>
      </c>
      <c r="G120" s="1013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2" cm="1">
        <f t="array" ref="F121">_xlfn.IFS(H121&lt;=299,D113,H121&lt;1000,D114,H121&lt;2000,D115,H121&gt;=2000,D116)</f>
        <v>0.35</v>
      </c>
      <c r="G121" s="1083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4">
        <f>ROUNDUP((H121*1000)*F121,2)</f>
        <v>0</v>
      </c>
      <c r="N121" s="1074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5">
        <f>SUM(M121)</f>
        <v>0</v>
      </c>
      <c r="N122" s="1075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4" t="s">
        <v>86</v>
      </c>
      <c r="C126" s="994"/>
      <c r="D126" s="994"/>
      <c r="E126" s="994"/>
      <c r="F126" s="994"/>
      <c r="G126" s="99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4"/>
      <c r="C127" s="994"/>
      <c r="D127" s="994"/>
      <c r="E127" s="994"/>
      <c r="F127" s="994"/>
      <c r="G127" s="99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4"/>
      <c r="C128" s="994"/>
      <c r="D128" s="994"/>
      <c r="E128" s="994"/>
      <c r="F128" s="994"/>
      <c r="G128" s="99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5" t="s">
        <v>87</v>
      </c>
      <c r="C129" s="1015"/>
      <c r="D129" s="1015"/>
      <c r="E129" s="1015"/>
      <c r="F129" s="101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6" t="s">
        <v>226</v>
      </c>
      <c r="C130" s="996"/>
      <c r="D130" s="996"/>
      <c r="E130" s="996"/>
      <c r="F130" s="99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3" t="s">
        <v>228</v>
      </c>
      <c r="D133" s="1013"/>
      <c r="E133" s="131" t="s">
        <v>210</v>
      </c>
      <c r="F133" s="1013" t="s">
        <v>221</v>
      </c>
      <c r="G133" s="1013"/>
      <c r="H133" s="266" t="s">
        <v>90</v>
      </c>
      <c r="I133" s="265"/>
      <c r="J133" s="1027" t="s">
        <v>229</v>
      </c>
      <c r="K133" s="1027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1">
        <f>BAAS_on.demand_SEK</f>
        <v>2.4500000000000002</v>
      </c>
      <c r="G134" s="1062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3">
        <f>BAAS_small_SEK</f>
        <v>1.75</v>
      </c>
      <c r="G135" s="1064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5">
        <f>BAAS_large_SEK</f>
        <v>0.92</v>
      </c>
      <c r="G136" s="1066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7" t="s">
        <v>260</v>
      </c>
      <c r="C150" s="997"/>
      <c r="D150" s="997"/>
      <c r="E150" s="997"/>
      <c r="F150" s="997"/>
      <c r="G150" s="99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7"/>
      <c r="C151" s="997"/>
      <c r="D151" s="997"/>
      <c r="E151" s="997"/>
      <c r="F151" s="997"/>
      <c r="G151" s="99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7"/>
      <c r="C152" s="997"/>
      <c r="D152" s="997"/>
      <c r="E152" s="997"/>
      <c r="F152" s="997"/>
      <c r="G152" s="99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59" t="s">
        <v>226</v>
      </c>
      <c r="C153" s="1059"/>
      <c r="D153" s="1059"/>
      <c r="E153" s="1059"/>
      <c r="F153" s="1059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5" t="s">
        <v>196</v>
      </c>
      <c r="C160" s="1085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6" t="s">
        <v>197</v>
      </c>
      <c r="C161" s="1086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7" t="s">
        <v>199</v>
      </c>
      <c r="C163" s="1087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4">
        <f>SUM(M160:M163)</f>
        <v>0</v>
      </c>
      <c r="K164" s="1084"/>
      <c r="L164" s="1084"/>
      <c r="M164" s="1084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3" zoomScale="120" zoomScaleNormal="120" workbookViewId="0">
      <selection activeCell="K4" sqref="K4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5.3900000000000006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0.3528</v>
      </c>
      <c r="G4" s="487">
        <f t="shared" si="1"/>
        <v>4.4279999999999999</v>
      </c>
      <c r="I4" s="115" t="s">
        <v>356</v>
      </c>
      <c r="K4" s="455">
        <v>9.8000000000000004E-2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7.84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9.8000000000000004E-2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539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20.854400000000002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670.32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1340.64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2681.28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0.1176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0.3528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0.24010000000000004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539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931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0.17150000000000001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9.0160000000000004E-2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49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49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49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49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34.300000000000004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26.46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19.600000000000001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18.13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2.4500000000000002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2.4500000000000001E-2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7.6440000000000001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146.804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39.200000000000003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2352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1470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110.446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134.65200000000002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125.146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134.65200000000002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111.622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134.65200000000002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2021-05-24T15:41:49Z</cp:lastPrinted>
  <dcterms:created xsi:type="dcterms:W3CDTF">2015-05-31T16:02:08Z</dcterms:created>
  <dcterms:modified xsi:type="dcterms:W3CDTF">2022-06-22T08:09:11Z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