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1683EA80-EA83-5443-8F4A-56A596EAEB81}" xr6:coauthVersionLast="47" xr6:coauthVersionMax="47" xr10:uidLastSave="{00000000-0000-0000-0000-000000000000}"/>
  <workbookProtection workbookAlgorithmName="SHA-512" workbookHashValue="UE7FcHtd9lN0xoHt728/rdp1Ptg1Cg8oBcNr04pqX8aAifgNvbs8oUcI0+K1Gf9HoNSrU3Ki0EEs/kmdlFEWRg==" workbookSaltValue="/YVHdyhXne9uONbodvpURQ==" workbookSpinCount="100000" lockStructure="1"/>
  <bookViews>
    <workbookView xWindow="2560" yWindow="500" windowWidth="28800" windowHeight="180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1" i="11"/>
  <c r="K162" i="11"/>
  <c r="K163" i="11"/>
  <c r="K164" i="11"/>
  <c r="K165" i="11"/>
  <c r="K166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1" i="3" l="1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2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1" l="1"/>
  <c r="L174" i="8"/>
  <c r="K174" i="11"/>
  <c r="G132" i="11"/>
  <c r="L173" i="8"/>
  <c r="G131" i="11"/>
  <c r="K173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70" i="11" l="1"/>
  <c r="K73" i="11" s="1"/>
  <c r="F72" i="11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<sst xmlns="http://schemas.openxmlformats.org/spreadsheetml/2006/main" count="2178" uniqueCount="672">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</sst>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659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408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652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3" t="s">
        <v>652</v>
      </c>
      <c r="C43" s="983"/>
      <c r="D43" s="983"/>
      <c r="E43" s="983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653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653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661</v>
      </c>
      <c r="C85" s="966"/>
      <c r="D85" s="966"/>
      <c r="E85" s="966"/>
      <c r="F85" s="966"/>
      <c r="G85" s="966"/>
      <c r="H85" s="966"/>
      <c r="I85" s="966"/>
      <c r="J85" s="966"/>
      <c r="K85" s="966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966"/>
      <c r="I86" s="966"/>
      <c r="J86" s="966"/>
      <c r="K86" s="966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966"/>
      <c r="I87" s="966"/>
      <c r="J87" s="966"/>
      <c r="K87" s="966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6" t="s">
        <v>660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19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19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663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445</v>
      </c>
      <c r="D130" s="967"/>
      <c r="E130" s="967" t="s">
        <v>446</v>
      </c>
      <c r="F130" s="967"/>
      <c r="G130" s="967" t="s">
        <v>228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444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443</v>
      </c>
      <c r="D132" s="974"/>
      <c r="E132" s="976" t="s">
        <v>447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234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670</v>
      </c>
      <c r="C160" s="129"/>
      <c r="D160" s="30"/>
      <c r="E160" s="30" t="s">
        <v>671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6" t="s">
        <v>244</v>
      </c>
      <c r="C182" s="966"/>
      <c r="D182" s="966"/>
      <c r="E182" s="966"/>
      <c r="F182" s="966"/>
      <c r="G182" s="966"/>
      <c r="H182" s="802"/>
      <c r="J182" s="681"/>
      <c r="K182" s="863"/>
      <c r="M182" s="702"/>
    </row>
    <row r="183" spans="2:20" s="4" customFormat="1" ht="25" customHeight="1">
      <c r="B183" s="966"/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87" t="s">
        <v>546</v>
      </c>
      <c r="C185" s="987"/>
      <c r="D185" s="987"/>
      <c r="E185" s="987"/>
      <c r="F185" s="987"/>
      <c r="H185" s="802"/>
      <c r="J185" s="681"/>
      <c r="K185" s="863"/>
      <c r="M185" s="702"/>
    </row>
    <row r="186" spans="2:20" s="4" customFormat="1" ht="25" customHeight="1">
      <c r="B186" s="982" t="s">
        <v>420</v>
      </c>
      <c r="C186" s="982"/>
      <c r="D186" s="982"/>
      <c r="E186" s="982"/>
      <c r="F186" s="982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662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5" t="s">
        <v>260</v>
      </c>
      <c r="C220" s="985"/>
      <c r="D220" s="985"/>
      <c r="E220" s="985"/>
      <c r="F220" s="985"/>
      <c r="G220" s="985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5"/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6" t="s">
        <v>420</v>
      </c>
      <c r="C223" s="986"/>
      <c r="D223" s="986"/>
      <c r="E223" s="986"/>
      <c r="F223" s="986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5PTUUeqKyqEPAS7r1Jd4wBzx3wb7t8IHs83ybFu7WXmB6Sk/Ho4kUgRJKXFsI2GtfsZ9GyzxHAB/kBhaq/LuVw==" saltValue="TaRlSaNqy3xqKyz2mvuDx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8" t="s">
        <v>647</v>
      </c>
      <c r="C24" s="988"/>
      <c r="D24" s="988"/>
      <c r="E24" s="988"/>
      <c r="F24" s="988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6.533333333333334E-2</v>
      </c>
      <c r="G26" s="921">
        <f t="shared" ref="G26:G37" si="1">C26*IAAS_vcpu_EUR+D26*IAAS_ram_EUR+E26*IAAS_nvme_EUR</f>
        <v>47.040000000000006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0.11977777777777779</v>
      </c>
      <c r="G27" s="922">
        <f t="shared" si="1"/>
        <v>86.240000000000009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0.18783333333333335</v>
      </c>
      <c r="G28" s="921">
        <f t="shared" si="1"/>
        <v>135.24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0.11705555555555555</v>
      </c>
      <c r="G29" s="922">
        <f t="shared" si="1"/>
        <v>84.28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0.17150000000000001</v>
      </c>
      <c r="G30" s="921">
        <f t="shared" si="1"/>
        <v>123.48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0.23955555555555558</v>
      </c>
      <c r="G31" s="922">
        <f t="shared" si="1"/>
        <v>172.48000000000002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0.22050000000000003</v>
      </c>
      <c r="G32" s="921">
        <f t="shared" si="1"/>
        <v>158.76000000000002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0.27494444444444444</v>
      </c>
      <c r="G33" s="922">
        <f t="shared" si="1"/>
        <v>197.96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0.34300000000000003</v>
      </c>
      <c r="G34" s="921">
        <f t="shared" si="1"/>
        <v>246.96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0.42738888888888893</v>
      </c>
      <c r="G35" s="922">
        <f t="shared" si="1"/>
        <v>307.72000000000003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0.48183333333333334</v>
      </c>
      <c r="G36" s="921">
        <f t="shared" si="1"/>
        <v>346.92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0.54988888888888887</v>
      </c>
      <c r="G37" s="922">
        <f t="shared" si="1"/>
        <v>395.92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88" t="s">
        <v>647</v>
      </c>
      <c r="C43" s="988"/>
      <c r="D43" s="988"/>
      <c r="E43" s="988"/>
      <c r="F43" s="988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2.5861111111111112E-2</v>
      </c>
      <c r="G45" s="921">
        <f t="shared" ref="G45:G54" si="4">C45*IAAS_vcpu_EUR+D45*IAAS_ram_EUR+E45*IAAS_ssd_EUR</f>
        <v>18.62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4.083333333333334E-2</v>
      </c>
      <c r="G46" s="922">
        <f t="shared" si="4"/>
        <v>29.400000000000002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5.1722222222222225E-2</v>
      </c>
      <c r="G47" s="921">
        <f t="shared" si="4"/>
        <v>37.24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8.1666666666666679E-2</v>
      </c>
      <c r="G48" s="922">
        <f t="shared" si="4"/>
        <v>58.800000000000004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0.10344444444444445</v>
      </c>
      <c r="G49" s="921">
        <f t="shared" si="4"/>
        <v>74.48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0.16333333333333336</v>
      </c>
      <c r="G50" s="922">
        <f t="shared" si="4"/>
        <v>117.60000000000001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0.2068888888888889</v>
      </c>
      <c r="G51" s="921">
        <f t="shared" si="4"/>
        <v>148.96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0.32666666666666672</v>
      </c>
      <c r="G52" s="922">
        <f t="shared" si="4"/>
        <v>235.20000000000002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0.4137777777777778</v>
      </c>
      <c r="G53" s="921">
        <f t="shared" si="4"/>
        <v>297.92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0.65333333333333343</v>
      </c>
      <c r="G54" s="922">
        <f t="shared" si="4"/>
        <v>470.40000000000003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538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538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1.6333333333333334E-4</v>
      </c>
      <c r="G79" s="934">
        <f>VOLUME_large_EUR</f>
        <v>0.1176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4.8999999999999998E-4</v>
      </c>
      <c r="G80" s="936">
        <f>VOLUME_fast_EUR</f>
        <v>0.3528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1.6333333333333334E-4</v>
      </c>
      <c r="G81" s="934">
        <f>VOLUME_large_EUR</f>
        <v>0.1176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34.300000000000004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49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0.24010000000000004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539</v>
      </c>
      <c r="F117" s="755"/>
      <c r="G117" s="939">
        <f>BAAS_small_EUR</f>
        <v>0.17150000000000001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931</v>
      </c>
      <c r="F118" s="775"/>
      <c r="G118" s="938">
        <f>BAAS_large_EUR</f>
        <v>9.0160000000000004E-2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665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7" t="s">
        <v>570</v>
      </c>
      <c r="D130" s="967"/>
      <c r="E130" s="967" t="s">
        <v>571</v>
      </c>
      <c r="F130" s="967"/>
      <c r="G130" s="989" t="s">
        <v>562</v>
      </c>
      <c r="H130" s="98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574</v>
      </c>
      <c r="F131" s="975"/>
      <c r="G131" s="945">
        <f>PAAS_man.kubernetes_EUR</f>
        <v>2352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572</v>
      </c>
      <c r="D132" s="974"/>
      <c r="E132" s="976" t="s">
        <v>573</v>
      </c>
      <c r="F132" s="976"/>
      <c r="G132" s="946">
        <f>PAAS_man.kubernetes8_EUR</f>
        <v>1470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100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101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576</v>
      </c>
      <c r="M144" s="695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577</v>
      </c>
      <c r="K145" s="614" t="s">
        <v>14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578</v>
      </c>
      <c r="K146" s="949">
        <f>NET_publicv4_EUR</f>
        <v>2.4500000000000002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950">
        <f>NET_publicv6_EUR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111</v>
      </c>
      <c r="D148" s="129"/>
      <c r="E148" s="148"/>
      <c r="F148" s="37"/>
      <c r="G148" s="37"/>
      <c r="H148" s="37"/>
      <c r="I148" s="37"/>
      <c r="J148" s="792" t="s">
        <v>69</v>
      </c>
      <c r="K148" s="949">
        <f>NET_ingress_EUR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111</v>
      </c>
      <c r="D149" s="130"/>
      <c r="E149" s="41" t="s">
        <v>580</v>
      </c>
      <c r="F149" s="793"/>
      <c r="G149" s="793"/>
      <c r="H149" s="793"/>
      <c r="I149" s="793"/>
      <c r="J149" s="795" t="s">
        <v>69</v>
      </c>
      <c r="K149" s="950">
        <f>NET_egress_EUR</f>
        <v>2.4500000000000001E-2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579</v>
      </c>
      <c r="F150" s="37"/>
      <c r="G150" s="37"/>
      <c r="H150" s="37"/>
      <c r="I150" s="37"/>
      <c r="J150" s="792" t="s">
        <v>116</v>
      </c>
      <c r="K150" s="931" t="str">
        <f>NET_mgn.slb_EUR</f>
        <v>Request a quote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950">
        <f>NET_rdns_EUR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949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581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582</v>
      </c>
      <c r="M157" s="695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577</v>
      </c>
      <c r="K158" s="614" t="s">
        <v>14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929">
        <f>SW_win.ser.201X_EUR</f>
        <v>7.6440000000000001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930">
        <f>SW_win.ser.201X_EUR</f>
        <v>7.6440000000000001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929">
        <f>SW_win.ser.201X_EUR</f>
        <v>7.6440000000000001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930">
        <f>SW_ms.sql.ser_EUR</f>
        <v>146.804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1088" t="str">
        <f>SW_nextcloud_EUR</f>
        <v>Request a quote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1089" t="str">
        <f>SW_suse_EUR</f>
        <v>Request a quote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1088" t="str">
        <f>SW_cluster.control_EUR</f>
        <v>3x instance price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140</v>
      </c>
      <c r="K166" s="930">
        <f>SW_backup.ninja_EUR</f>
        <v>39.200000000000003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139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583</v>
      </c>
      <c r="M171" s="695"/>
    </row>
    <row r="172" spans="2:18" ht="25" customHeight="1">
      <c r="B172" s="470" t="s">
        <v>9</v>
      </c>
      <c r="C172" s="23"/>
      <c r="D172" s="23"/>
      <c r="E172" s="24" t="s">
        <v>64</v>
      </c>
      <c r="F172" s="24"/>
      <c r="G172" s="24"/>
      <c r="H172" s="24"/>
      <c r="I172" s="24"/>
      <c r="J172" s="131"/>
      <c r="K172" s="614" t="s">
        <v>14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951">
        <f>PAAS_man.kubernetes_EUR</f>
        <v>2352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930">
        <f>PAAS_man.postgres.sql_EUR</f>
        <v>1470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929" t="str">
        <f>PAAS_man.elasticsearch_EUR</f>
        <v>Requests for quotation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584</v>
      </c>
      <c r="F176" s="793"/>
      <c r="G176" s="793"/>
      <c r="H176" s="793"/>
      <c r="I176" s="793"/>
      <c r="J176" s="801"/>
      <c r="K176" s="930">
        <f>PAAS_openshift_EUR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929" t="str">
        <f>PAAS_man.nats_EUR</f>
        <v>Requests for quotation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930" t="str">
        <f>PAAS_man.mariadb_EUR</f>
        <v>Requests for quotation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929" t="str">
        <f>PAAS_man.redis_EUR</f>
        <v>Requests for quotation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585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586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587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588</v>
      </c>
      <c r="M190" s="695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577</v>
      </c>
      <c r="J191" s="23"/>
      <c r="K191" s="614" t="s">
        <v>14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589</v>
      </c>
      <c r="E192" s="40"/>
      <c r="F192" s="30"/>
      <c r="G192" s="40"/>
      <c r="H192" s="40"/>
      <c r="I192" s="797" t="s">
        <v>606</v>
      </c>
      <c r="J192" s="797"/>
      <c r="K192" s="929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157</v>
      </c>
      <c r="J193" s="795"/>
      <c r="K193" s="556" t="s">
        <v>590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161</v>
      </c>
      <c r="J194" s="792"/>
      <c r="K194" s="557" t="s">
        <v>592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593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594</v>
      </c>
      <c r="M198" s="695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577</v>
      </c>
      <c r="J199" s="23"/>
      <c r="K199" s="614" t="s">
        <v>14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161</v>
      </c>
      <c r="J200" s="792"/>
      <c r="K200" s="929">
        <f>PS_consult.jun_EUR</f>
        <v>110.446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161</v>
      </c>
      <c r="J201" s="795"/>
      <c r="K201" s="930">
        <f>PS_consult.sen_EUR</f>
        <v>134.65200000000002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161</v>
      </c>
      <c r="J202" s="792"/>
      <c r="K202" s="929">
        <f>PS_cloudarch.jun_EUR</f>
        <v>125.146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161</v>
      </c>
      <c r="J203" s="795"/>
      <c r="K203" s="930">
        <f>PS_cloudarch.sen_EUR</f>
        <v>134.65200000000002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161</v>
      </c>
      <c r="J204" s="792"/>
      <c r="K204" s="929">
        <f>PS_pm.jun_EUR</f>
        <v>111.622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161</v>
      </c>
      <c r="J205" s="795"/>
      <c r="K205" s="930">
        <f>PS_pm.sen_EUR</f>
        <v>134.65200000000002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595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596</v>
      </c>
      <c r="M209" s="695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577</v>
      </c>
      <c r="J210" s="23"/>
      <c r="K210" s="614" t="s">
        <v>179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182</v>
      </c>
      <c r="E211" s="40"/>
      <c r="F211" s="30"/>
      <c r="G211" s="40" t="s">
        <v>181</v>
      </c>
      <c r="H211" s="792"/>
      <c r="I211" s="952" t="s">
        <v>183</v>
      </c>
      <c r="J211" s="792"/>
      <c r="K211" s="557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597</v>
      </c>
      <c r="E212" s="31"/>
      <c r="F212" s="793"/>
      <c r="G212" s="801" t="s">
        <v>181</v>
      </c>
      <c r="H212" s="795"/>
      <c r="I212" s="953" t="s">
        <v>183</v>
      </c>
      <c r="J212" s="795"/>
      <c r="K212" s="556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598</v>
      </c>
      <c r="E213" s="40"/>
      <c r="F213" s="30"/>
      <c r="G213" s="40" t="s">
        <v>187</v>
      </c>
      <c r="H213" s="792"/>
      <c r="I213" s="952" t="s">
        <v>183</v>
      </c>
      <c r="J213" s="792"/>
      <c r="K213" s="557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599</v>
      </c>
      <c r="E214" s="31"/>
      <c r="F214" s="793"/>
      <c r="G214" s="801" t="s">
        <v>187</v>
      </c>
      <c r="H214" s="795"/>
      <c r="I214" s="953" t="s">
        <v>183</v>
      </c>
      <c r="J214" s="795"/>
      <c r="K214" s="556" t="s">
        <v>592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191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587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601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602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603</v>
      </c>
      <c r="C230" s="56"/>
      <c r="D230" s="57"/>
      <c r="E230" s="56"/>
      <c r="F230" s="665"/>
      <c r="G230" s="665"/>
      <c r="H230" s="665"/>
      <c r="I230" s="56"/>
      <c r="J230" s="665" t="s">
        <v>600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954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955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955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IF(J131=1,"Fully managed service - support weekdays 08: 00-17: 00",IF(J131=3,"Fully managed service - support around the clock, every day",""))</f>
        <v/>
      </c>
      <c r="D234" s="33"/>
      <c r="E234" s="34"/>
      <c r="F234" s="35"/>
      <c r="G234" s="828"/>
      <c r="H234" s="828"/>
      <c r="I234" s="775"/>
      <c r="J234" s="940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30</v>
      </c>
      <c r="C235" s="659"/>
      <c r="D235" s="660"/>
      <c r="E235" s="660"/>
      <c r="F235" s="832"/>
      <c r="G235" s="833"/>
      <c r="H235" s="833"/>
      <c r="I235" s="834"/>
      <c r="J235" s="956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LEXLEdVlJX4g6JLx66de4S/Kn+kslh3QmXgox9rO/V0HRPmKGBbn9SfvZYUSoeIH2Zpv93JyuraZijcmRHr2Ug==" saltValue="NhjgMTFaB3J8tEDmaJhZjw==" spinCount="100000" sheet="1" objects="1" scenarios="1" selectLockedCells="1"/>
  <mergeCells count="41"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2" t="str">
        <f>"1 SEK = "&amp;EUR&amp;" EUR"</f>
        <v>1 SEK = 0,098 EUR</v>
      </c>
      <c r="E11" s="1022"/>
      <c r="F11" s="1022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4"/>
      <c r="C16" s="994"/>
      <c r="D16" s="994"/>
      <c r="E16" s="994"/>
      <c r="F16" s="994"/>
      <c r="G16" s="994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4"/>
      <c r="C17" s="994"/>
      <c r="D17" s="994"/>
      <c r="E17" s="994"/>
      <c r="F17" s="994"/>
      <c r="G17" s="994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1" t="s">
        <v>6</v>
      </c>
      <c r="C19" s="1021"/>
      <c r="D19" s="1021"/>
      <c r="E19" s="1021"/>
      <c r="F19" s="1021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3.7974999999999995E-2</v>
      </c>
      <c r="H25" s="403">
        <f>C25*IAAS_vcpu_EUR+D25*IAAS_ram_EUR+E25*IAAS_ssd_EUR</f>
        <v>27.341999999999999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4.5461111111111112E-2</v>
      </c>
      <c r="H26" s="404">
        <f>C26*IAAS_vcpu_EUR+D26*IAAS_ram_EUR+E26*IAAS_ssd_EUR</f>
        <v>32.731999999999999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7.1322222222222231E-2</v>
      </c>
      <c r="H27" s="403">
        <f t="shared" ref="H27:H36" si="3">C27*IAAS_vcpu_EUR+D27*IAAS_ram_EUR+E27*IAAS_ssd_EUR</f>
        <v>51.352000000000004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0.12304444444444444</v>
      </c>
      <c r="H28" s="404">
        <f t="shared" si="3"/>
        <v>88.591999999999999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0.22648888888888891</v>
      </c>
      <c r="H29" s="403">
        <f t="shared" si="3"/>
        <v>163.072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0.43337777777777781</v>
      </c>
      <c r="H30" s="404">
        <f t="shared" si="3"/>
        <v>312.03200000000004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6.0433333333333332E-2</v>
      </c>
      <c r="H31" s="403">
        <f t="shared" si="3"/>
        <v>43.512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0.10126666666666667</v>
      </c>
      <c r="H32" s="404">
        <f t="shared" si="3"/>
        <v>72.912000000000006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0.18293333333333336</v>
      </c>
      <c r="H33" s="403">
        <f t="shared" si="3"/>
        <v>131.71200000000002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0.34626666666666667</v>
      </c>
      <c r="H34" s="404">
        <f t="shared" ref="H34" si="5">C34*IAAS_vcpu_EUR+D34*IAAS_ram_EUR+E34*IAAS_ssd_EUR</f>
        <v>249.31200000000001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0.67293333333333338</v>
      </c>
      <c r="H35" s="403">
        <f>C35*IAAS_vcpu_EUR+D35*IAAS_ram_EUR+E35*IAAS_ssd_EUR</f>
        <v>484.51200000000006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1.3262666666666667</v>
      </c>
      <c r="H36" s="404">
        <f t="shared" si="3"/>
        <v>954.91200000000003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2.6329333333333338</v>
      </c>
      <c r="H37" s="403">
        <f>C37*IAAS_vcpu_EUR+D37*IAAS_ram_EUR+E37*IAAS_ssd_EUR</f>
        <v>1895.7120000000002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1.9736111111111114E-2</v>
      </c>
      <c r="H43" s="409">
        <f t="shared" ref="H43:H65" si="7">C43*IAAS_vcpu_EUR+D43*IAAS_ram_EUR+E43*IAAS_nvme_EUR</f>
        <v>14.21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2.8583333333333336E-2</v>
      </c>
      <c r="H44" s="408">
        <f t="shared" si="7"/>
        <v>20.580000000000002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8.5750000000000007E-2</v>
      </c>
      <c r="H45" s="409">
        <f t="shared" si="7"/>
        <v>61.74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0.13747222222222222</v>
      </c>
      <c r="H46" s="408">
        <f t="shared" si="7"/>
        <v>98.98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0.24091666666666667</v>
      </c>
      <c r="H47" s="409">
        <f t="shared" si="7"/>
        <v>173.46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0.44780555555555557</v>
      </c>
      <c r="H48" s="408">
        <f t="shared" si="7"/>
        <v>322.42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0.48183333333333334</v>
      </c>
      <c r="H49" s="409">
        <f t="shared" si="7"/>
        <v>346.92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0.54988888888888887</v>
      </c>
      <c r="H50" s="408">
        <f t="shared" si="7"/>
        <v>395.92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0.86158333333333337</v>
      </c>
      <c r="H51" s="409">
        <f t="shared" si="7"/>
        <v>620.34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0.89561111111111114</v>
      </c>
      <c r="H52" s="408">
        <f t="shared" si="7"/>
        <v>644.84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0.96366666666666667</v>
      </c>
      <c r="H53" s="409">
        <f t="shared" si="7"/>
        <v>693.84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4.3555555555555563E-2</v>
      </c>
      <c r="H54" s="408">
        <f t="shared" si="7"/>
        <v>31.360000000000003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0.11569444444444446</v>
      </c>
      <c r="H55" s="409">
        <f t="shared" si="7"/>
        <v>83.300000000000011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0.19736111111111115</v>
      </c>
      <c r="H56" s="408">
        <f t="shared" si="7"/>
        <v>142.10000000000002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0.36069444444444448</v>
      </c>
      <c r="H57" s="409">
        <f t="shared" si="7"/>
        <v>259.70000000000005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0.39472222222222231</v>
      </c>
      <c r="H58" s="408">
        <f t="shared" si="7"/>
        <v>284.20000000000005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0.46277777777777784</v>
      </c>
      <c r="H59" s="409">
        <f t="shared" si="7"/>
        <v>333.20000000000005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0.6873611111111112</v>
      </c>
      <c r="H60" s="408">
        <f t="shared" si="7"/>
        <v>494.90000000000003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0.72138888888888897</v>
      </c>
      <c r="H61" s="409">
        <f t="shared" si="7"/>
        <v>519.40000000000009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0.78944444444444462</v>
      </c>
      <c r="H62" s="408">
        <f t="shared" ref="H62:H63" si="11">C62*IAAS_vcpu_EUR+D62*IAAS_ram_EUR+E62*IAAS_nvme_EUR</f>
        <v>568.40000000000009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1.3406944444444446</v>
      </c>
      <c r="H63" s="409">
        <f t="shared" si="11"/>
        <v>965.30000000000007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1.3747222222222224</v>
      </c>
      <c r="H64" s="408">
        <f t="shared" si="7"/>
        <v>989.80000000000007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1.4427777777777779</v>
      </c>
      <c r="H65" s="409">
        <f t="shared" si="7"/>
        <v>1038.8000000000002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2.7494444444444448</v>
      </c>
      <c r="H66" s="408">
        <f t="shared" ref="H66" si="13">C66*IAAS_vcpu_EUR+D66*IAAS_ram_EUR+E66*IAAS_nvme_EUR</f>
        <v>1979.6000000000001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0.94597222222222221</v>
      </c>
      <c r="H72" s="409">
        <f>C72*IAAS_vcpu_EUR+D72*IAAS_ram_EUR+E72*IAAS_nvme_EUR+F72*IAAS_gpu_EUR</f>
        <v>681.1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1.8919444444444444</v>
      </c>
      <c r="H73" s="408">
        <f>C73*IAAS_vcpu_EUR+D73*IAAS_ram_EUR+E73*IAAS_nvme_EUR+F73*IAAS_gpu_EUR</f>
        <v>1362.2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3.7838888888888889</v>
      </c>
      <c r="H74" s="409">
        <f>C74*IAAS_vcpu_EUR+D74*IAAS_ram_EUR+E74*IAAS_nvme_EUR+F74*IAAS_gpu_EUR</f>
        <v>2724.4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5.9344444444444449</v>
      </c>
      <c r="H75" s="408">
        <f>C75*IAAS_vcpu_EUR+D75*IAAS_ram_EUR+E75*IAAS_nvme_EUR+F75*IAAS_gpu_EUR</f>
        <v>4272.8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0.93100000000000005</v>
      </c>
      <c r="H81" s="409">
        <f>INSTANCE_p1.2xlarge.16d_EUR</f>
        <v>670.32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1.8620000000000001</v>
      </c>
      <c r="H82" s="408">
        <f>INSTANCE_p1.4xlarge.16d_EUR</f>
        <v>1340.64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3.7240000000000002</v>
      </c>
      <c r="H83" s="411">
        <f>INSTANCE_p1.8xlarge.32d_EUR</f>
        <v>2681.28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3" t="s">
        <v>65</v>
      </c>
      <c r="G88" s="1013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1.6333333333333334E-4</v>
      </c>
      <c r="F89" s="1026">
        <f>VOLUME_large_EUR</f>
        <v>0.1176</v>
      </c>
      <c r="G89" s="1026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4.8999999999999998E-4</v>
      </c>
      <c r="F90" s="1042">
        <f>VOLUME_fast_EUR</f>
        <v>0.3528</v>
      </c>
      <c r="G90" s="1042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567"/>
      <c r="O95" s="168"/>
    </row>
    <row r="96" spans="2:23" s="169" customFormat="1" ht="2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567"/>
      <c r="O96" s="168"/>
    </row>
    <row r="97" spans="2:22" s="169" customFormat="1" ht="2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567"/>
      <c r="O97" s="168"/>
    </row>
    <row r="98" spans="2:22" s="169" customFormat="1" ht="25" customHeight="1">
      <c r="B98" s="1043" t="s">
        <v>73</v>
      </c>
      <c r="C98" s="1043"/>
      <c r="D98" s="1043"/>
      <c r="E98" s="1043"/>
      <c r="F98" s="1043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1" t="s">
        <v>74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3" t="s">
        <v>76</v>
      </c>
      <c r="E102" s="1013"/>
      <c r="F102" s="1013"/>
      <c r="G102" s="1013"/>
      <c r="H102" s="266" t="s">
        <v>75</v>
      </c>
      <c r="I102" s="265"/>
      <c r="J102" s="1013"/>
      <c r="K102" s="1013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34.300000000000004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4">
        <f>S3_storage.50_EUR</f>
        <v>34.300000000000004</v>
      </c>
      <c r="E104" s="1024"/>
      <c r="F104" s="1025"/>
      <c r="G104" s="1025"/>
      <c r="H104" s="1025"/>
      <c r="I104" s="1025"/>
      <c r="J104" s="1025"/>
      <c r="K104" s="1025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2">
        <f>S3_storage.100_EUR</f>
        <v>26.46</v>
      </c>
      <c r="E105" s="1012"/>
      <c r="F105" s="1017"/>
      <c r="G105" s="1017"/>
      <c r="H105" s="1017"/>
      <c r="I105" s="1017"/>
      <c r="J105" s="1017"/>
      <c r="K105" s="1017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6">
        <f>S3_storage.500_EUR</f>
        <v>19.600000000000001</v>
      </c>
      <c r="E106" s="1016"/>
      <c r="F106" s="1011"/>
      <c r="G106" s="1011"/>
      <c r="H106" s="1011"/>
      <c r="I106" s="1011"/>
      <c r="J106" s="1011"/>
      <c r="K106" s="1011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2">
        <f>S3_storage.1000_EUR</f>
        <v>18.13</v>
      </c>
      <c r="E107" s="1012"/>
      <c r="F107" s="1017"/>
      <c r="G107" s="1017"/>
      <c r="H107" s="1017"/>
      <c r="I107" s="1017"/>
      <c r="J107" s="1017"/>
      <c r="K107" s="1017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8" t="str">
        <f>S3_storage.quote_EUR</f>
        <v>Request a quote</v>
      </c>
      <c r="E108" s="1018"/>
      <c r="F108" s="1019"/>
      <c r="G108" s="1019"/>
      <c r="H108" s="1019"/>
      <c r="I108" s="1019"/>
      <c r="J108" s="1019"/>
      <c r="K108" s="1019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3" t="s">
        <v>76</v>
      </c>
      <c r="E111" s="1023"/>
      <c r="F111" s="1013"/>
      <c r="G111" s="1013"/>
      <c r="H111" s="266" t="s">
        <v>75</v>
      </c>
      <c r="I111" s="266"/>
      <c r="J111" s="1013"/>
      <c r="K111" s="1013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34.300000000000004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4">
        <f>S3_archive.50_EUR</f>
        <v>34.300000000000004</v>
      </c>
      <c r="E113" s="1024"/>
      <c r="F113" s="1025"/>
      <c r="G113" s="1025"/>
      <c r="H113" s="1025"/>
      <c r="I113" s="1025"/>
      <c r="J113" s="1025"/>
      <c r="K113" s="1025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2">
        <f>S3_archive.100_EUR</f>
        <v>26.46</v>
      </c>
      <c r="E114" s="1012"/>
      <c r="F114" s="1017"/>
      <c r="G114" s="1017"/>
      <c r="H114" s="1017"/>
      <c r="I114" s="1017"/>
      <c r="J114" s="1017"/>
      <c r="K114" s="1017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6">
        <f>S3_archive.500_EUR</f>
        <v>19.600000000000001</v>
      </c>
      <c r="E115" s="1016"/>
      <c r="F115" s="1011"/>
      <c r="G115" s="1011"/>
      <c r="H115" s="1011"/>
      <c r="I115" s="1011"/>
      <c r="J115" s="1011"/>
      <c r="K115" s="1011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2">
        <f>S3_archive.1000_EUR</f>
        <v>18.13</v>
      </c>
      <c r="E116" s="1012"/>
      <c r="F116" s="1017"/>
      <c r="G116" s="1017"/>
      <c r="H116" s="1017"/>
      <c r="I116" s="1017"/>
      <c r="J116" s="1017"/>
      <c r="K116" s="1017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8" t="str">
        <f>S3_archive.quote_EUR</f>
        <v>Request a quote</v>
      </c>
      <c r="E117" s="1018"/>
      <c r="F117" s="1019"/>
      <c r="G117" s="1019"/>
      <c r="H117" s="1019"/>
      <c r="I117" s="1019"/>
      <c r="J117" s="1019"/>
      <c r="K117" s="1019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4" t="s">
        <v>86</v>
      </c>
      <c r="C122" s="994"/>
      <c r="D122" s="994"/>
      <c r="E122" s="994"/>
      <c r="F122" s="994"/>
      <c r="G122" s="994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4"/>
      <c r="C123" s="994"/>
      <c r="D123" s="994"/>
      <c r="E123" s="994"/>
      <c r="F123" s="994"/>
      <c r="G123" s="994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4"/>
      <c r="C124" s="994"/>
      <c r="D124" s="994"/>
      <c r="E124" s="994"/>
      <c r="F124" s="994"/>
      <c r="G124" s="994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5" t="s">
        <v>87</v>
      </c>
      <c r="C125" s="1015"/>
      <c r="D125" s="1015"/>
      <c r="E125" s="1015"/>
      <c r="F125" s="1015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5" t="s">
        <v>6</v>
      </c>
      <c r="C126" s="995"/>
      <c r="D126" s="995"/>
      <c r="E126" s="995"/>
      <c r="F126" s="995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3" t="s">
        <v>89</v>
      </c>
      <c r="G129" s="1013"/>
      <c r="H129" s="266" t="s">
        <v>90</v>
      </c>
      <c r="I129" s="265"/>
      <c r="J129" s="1027" t="s">
        <v>91</v>
      </c>
      <c r="K129" s="1027"/>
      <c r="L129" s="535"/>
      <c r="M129" s="577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0.24010000000000004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8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539</v>
      </c>
      <c r="E131" s="32"/>
      <c r="F131" s="1033">
        <f>BAAS_small_EUR</f>
        <v>0.17150000000000001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931</v>
      </c>
      <c r="E132" s="35"/>
      <c r="F132" s="1038">
        <f>BAAS_large_EUR</f>
        <v>9.0160000000000004E-2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4" t="s">
        <v>97</v>
      </c>
      <c r="C135" s="1014"/>
      <c r="D135" s="1014"/>
      <c r="E135" s="1014"/>
      <c r="F135" s="1014"/>
      <c r="G135" s="1014"/>
      <c r="H135" s="1014"/>
      <c r="I135" s="1014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4" t="s">
        <v>98</v>
      </c>
      <c r="C136" s="1014"/>
      <c r="D136" s="1014"/>
      <c r="E136" s="1014"/>
      <c r="F136" s="1014"/>
      <c r="G136" s="1014"/>
      <c r="H136" s="1014"/>
      <c r="I136" s="1014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4" t="s">
        <v>99</v>
      </c>
      <c r="C137" s="1014"/>
      <c r="D137" s="1014"/>
      <c r="E137" s="1014"/>
      <c r="F137" s="1014"/>
      <c r="G137" s="1014"/>
      <c r="H137" s="1014"/>
      <c r="I137" s="1014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4" t="s">
        <v>418</v>
      </c>
      <c r="C138" s="1014"/>
      <c r="D138" s="1014"/>
      <c r="E138" s="1014"/>
      <c r="F138" s="1014"/>
      <c r="G138" s="1014"/>
      <c r="H138" s="1014"/>
      <c r="I138" s="1014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4" t="s">
        <v>100</v>
      </c>
      <c r="C143" s="994"/>
      <c r="D143" s="994"/>
      <c r="E143" s="994"/>
      <c r="F143" s="994"/>
      <c r="G143" s="994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4"/>
      <c r="C144" s="994"/>
      <c r="D144" s="994"/>
      <c r="E144" s="994"/>
      <c r="F144" s="994"/>
      <c r="G144" s="994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4"/>
      <c r="C145" s="994"/>
      <c r="D145" s="994"/>
      <c r="E145" s="994"/>
      <c r="F145" s="994"/>
      <c r="G145" s="994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5" t="s">
        <v>6</v>
      </c>
      <c r="C146" s="995"/>
      <c r="D146" s="995"/>
      <c r="E146" s="995"/>
      <c r="F146" s="995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6"/>
      <c r="C147" s="996"/>
      <c r="D147" s="996"/>
      <c r="E147" s="996"/>
      <c r="F147" s="996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2" t="s">
        <v>14</v>
      </c>
      <c r="M150" s="99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3">
        <f>NET_publicv4_EUR</f>
        <v>2.4500000000000002</v>
      </c>
      <c r="M151" s="99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5">
        <f>NET_publicv6_EUR</f>
        <v>0</v>
      </c>
      <c r="M152" s="104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6">
        <f>NET_ingress_EUR</f>
        <v>0</v>
      </c>
      <c r="M153" s="104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5">
        <f>NET_egress_EUR</f>
        <v>2.4500000000000001E-2</v>
      </c>
      <c r="M154" s="104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7" t="str">
        <f>NET_mgn.slb_EUR</f>
        <v>Request a quote</v>
      </c>
      <c r="M155" s="100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5">
        <f>NET_rdns_EUR</f>
        <v>0</v>
      </c>
      <c r="M156" s="104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7">
        <f>NET_byoip_EUR</f>
        <v>0</v>
      </c>
      <c r="M157" s="100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4"/>
      <c r="M158" s="104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1"/>
      <c r="M159" s="99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2" t="s">
        <v>14</v>
      </c>
      <c r="M160" s="99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3">
        <f>SW_win.ser.201X_EUR</f>
        <v>7.6440000000000001</v>
      </c>
      <c r="M161" s="99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0">
        <f>SW_win.ser.201X_EUR</f>
        <v>7.6440000000000001</v>
      </c>
      <c r="M162" s="105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7">
        <f>SW_ms.sql.ser_EUR</f>
        <v>146.804</v>
      </c>
      <c r="M163" s="100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1" t="str">
        <f>SW_stackn_EUR</f>
        <v>Request a quote</v>
      </c>
      <c r="M164" s="105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2" t="str">
        <f>SW_nextcloud_EUR</f>
        <v>Request a quote</v>
      </c>
      <c r="M165" s="105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1" t="str">
        <f>SW_suse_EUR</f>
        <v>Request a quote</v>
      </c>
      <c r="M166" s="105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2" t="str">
        <f>SW_cluster.control_EUR</f>
        <v>3x instance price</v>
      </c>
      <c r="M167" s="105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8">
        <f>SW_backup.ninja_EUR</f>
        <v>39.200000000000003</v>
      </c>
      <c r="M168" s="100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47"/>
      <c r="M170" s="104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1"/>
      <c r="M171" s="99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2" t="s">
        <v>14</v>
      </c>
      <c r="M172" s="992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7">
        <f>PAAS_man.kubernetes24_EUR</f>
        <v>2352</v>
      </c>
      <c r="M173" s="1057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8">
        <f>PAAS_man.kubernetes8_EUR</f>
        <v>1470</v>
      </c>
      <c r="M174" s="105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8" t="str">
        <f>PAAS_man.elasticsearch_EUR</f>
        <v>Requests for quotation</v>
      </c>
      <c r="M175" s="104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8" t="str">
        <f>PAAS_man.redis_EUR</f>
        <v>Requests for quotation</v>
      </c>
      <c r="M176" s="105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8" t="str">
        <f>PAAS_man.nats_EUR</f>
        <v>Requests for quotation</v>
      </c>
      <c r="M177" s="104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49" t="str">
        <f>PAAS_man.mariadb_EUR</f>
        <v>Requests for quotation</v>
      </c>
      <c r="M178" s="104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5"/>
      <c r="M180" s="105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6"/>
      <c r="M181" s="1056"/>
      <c r="N181" s="189"/>
      <c r="O181" s="205"/>
      <c r="P181" s="180"/>
      <c r="Q181" s="180"/>
    </row>
    <row r="182" spans="2:19" s="169" customFormat="1" ht="25" customHeight="1">
      <c r="B182" s="994" t="s">
        <v>151</v>
      </c>
      <c r="C182" s="994"/>
      <c r="D182" s="994"/>
      <c r="E182" s="994"/>
      <c r="F182" s="994"/>
      <c r="G182" s="994"/>
      <c r="H182" s="335"/>
      <c r="J182" s="178"/>
      <c r="L182" s="1000"/>
      <c r="M182" s="1000"/>
      <c r="N182" s="189"/>
      <c r="O182" s="205"/>
    </row>
    <row r="183" spans="2:19" s="169" customFormat="1" ht="25" customHeight="1">
      <c r="B183" s="994"/>
      <c r="C183" s="994"/>
      <c r="D183" s="994"/>
      <c r="E183" s="994"/>
      <c r="F183" s="994"/>
      <c r="G183" s="994"/>
      <c r="H183" s="335"/>
      <c r="J183" s="178"/>
      <c r="L183" s="1000"/>
      <c r="M183" s="1000"/>
      <c r="N183" s="189"/>
      <c r="O183" s="205"/>
    </row>
    <row r="184" spans="2:19" s="169" customFormat="1" ht="25" customHeight="1">
      <c r="B184" s="994"/>
      <c r="C184" s="994"/>
      <c r="D184" s="994"/>
      <c r="E184" s="994"/>
      <c r="F184" s="994"/>
      <c r="G184" s="994"/>
      <c r="H184" s="335"/>
      <c r="J184" s="178"/>
      <c r="L184" s="1000"/>
      <c r="M184" s="1000"/>
      <c r="N184" s="189"/>
      <c r="O184" s="205"/>
    </row>
    <row r="185" spans="2:19" s="169" customFormat="1" ht="25" customHeight="1">
      <c r="B185" s="995" t="s">
        <v>6</v>
      </c>
      <c r="C185" s="995"/>
      <c r="D185" s="995"/>
      <c r="E185" s="995"/>
      <c r="F185" s="995"/>
      <c r="H185" s="335"/>
      <c r="J185" s="178"/>
      <c r="L185" s="1000"/>
      <c r="M185" s="1000"/>
      <c r="N185" s="189"/>
      <c r="O185" s="205"/>
    </row>
    <row r="186" spans="2:19" s="169" customFormat="1" ht="25" customHeight="1">
      <c r="B186" s="996"/>
      <c r="C186" s="996"/>
      <c r="D186" s="996"/>
      <c r="E186" s="996"/>
      <c r="F186" s="996"/>
      <c r="G186" s="182"/>
      <c r="H186" s="183"/>
      <c r="I186" s="182"/>
      <c r="J186" s="184"/>
      <c r="K186" s="182"/>
      <c r="L186" s="1001"/>
      <c r="M186" s="100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1"/>
      <c r="M187" s="100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2"/>
      <c r="M188" s="100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2" t="s">
        <v>14</v>
      </c>
      <c r="M189" s="99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3">
        <v>0</v>
      </c>
      <c r="M190" s="100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3" t="s">
        <v>158</v>
      </c>
      <c r="M191" s="105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4" t="s">
        <v>162</v>
      </c>
      <c r="M192" s="105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1"/>
      <c r="M195" s="99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2" t="s">
        <v>14</v>
      </c>
      <c r="M196" s="99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3">
        <f>PS_consult.jun_EUR</f>
        <v>110.446</v>
      </c>
      <c r="M197" s="99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0">
        <f>PS_consult.sen_EUR</f>
        <v>134.65200000000002</v>
      </c>
      <c r="M198" s="105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7">
        <f>PS_cloudarch.jun_EUR</f>
        <v>125.146</v>
      </c>
      <c r="M199" s="100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0">
        <f>PS_cloudarch.sen_EUR</f>
        <v>134.65200000000002</v>
      </c>
      <c r="M200" s="105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7">
        <f>PS_pm.jun_EUR</f>
        <v>111.622</v>
      </c>
      <c r="M201" s="100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8">
        <f>PS_pm.sen_EUR</f>
        <v>134.65200000000002</v>
      </c>
      <c r="M202" s="100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1"/>
      <c r="M205" s="99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2" t="s">
        <v>179</v>
      </c>
      <c r="M206" s="99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3" t="s">
        <v>162</v>
      </c>
      <c r="M207" s="100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4" t="s">
        <v>162</v>
      </c>
      <c r="M208" s="100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5" t="s">
        <v>162</v>
      </c>
      <c r="M209" s="100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6" t="s">
        <v>162</v>
      </c>
      <c r="M210" s="100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7" t="s">
        <v>191</v>
      </c>
      <c r="C217" s="997"/>
      <c r="D217" s="997"/>
      <c r="E217" s="997"/>
      <c r="F217" s="997"/>
      <c r="G217" s="997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7"/>
      <c r="C218" s="997"/>
      <c r="D218" s="997"/>
      <c r="E218" s="997"/>
      <c r="F218" s="997"/>
      <c r="G218" s="997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7"/>
      <c r="C219" s="997"/>
      <c r="D219" s="997"/>
      <c r="E219" s="997"/>
      <c r="F219" s="997"/>
      <c r="G219" s="997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8" t="s">
        <v>6</v>
      </c>
      <c r="C220" s="998"/>
      <c r="D220" s="998"/>
      <c r="E220" s="998"/>
      <c r="F220" s="998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99" t="str">
        <f>SUM(E67)&amp;" GB NVME-Disk"</f>
        <v>0 GB NVME-Disk</v>
      </c>
      <c r="G227" s="999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669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608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648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3" t="s">
        <v>654</v>
      </c>
      <c r="C43" s="983"/>
      <c r="D43" s="983"/>
      <c r="E43" s="983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655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655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6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6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2" t="s">
        <v>608</v>
      </c>
      <c r="C112" s="982"/>
      <c r="D112" s="982"/>
      <c r="E112" s="982"/>
      <c r="F112" s="982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2" t="s">
        <v>666</v>
      </c>
      <c r="C127" s="982"/>
      <c r="D127" s="982"/>
      <c r="E127" s="982"/>
      <c r="F127" s="982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627</v>
      </c>
      <c r="D130" s="967"/>
      <c r="E130" s="967" t="s">
        <v>628</v>
      </c>
      <c r="F130" s="967"/>
      <c r="G130" s="967" t="s">
        <v>286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650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629</v>
      </c>
      <c r="D132" s="974"/>
      <c r="E132" s="976" t="s">
        <v>630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292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982" t="s">
        <v>608</v>
      </c>
      <c r="C140" s="982"/>
      <c r="D140" s="982"/>
      <c r="E140" s="982"/>
      <c r="F140" s="982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300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639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420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313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608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WtV2qXjmbX+mSyoub3Hn+5UjmRbW/gcAJNnjs3yeWcvbZHyYdTLRDMNB+HNMWyoH8rM0X3uIH7dlSDpeeyzZBA==" saltValue="GwjxurC///7Kwt4FO27M3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2" t="str">
        <f>"1 SEK = "&amp;NOK&amp;" NOK"</f>
        <v>1 SEK = 1 NOK</v>
      </c>
      <c r="E11" s="1022"/>
      <c r="F11" s="102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1" t="s">
        <v>266</v>
      </c>
      <c r="C19" s="1021"/>
      <c r="D19" s="1021"/>
      <c r="E19" s="1021"/>
      <c r="F19" s="102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3" t="s">
        <v>277</v>
      </c>
      <c r="G88" s="1013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3">
        <f>VOLUME_large_SEK</f>
        <v>1.2</v>
      </c>
      <c r="G89" s="1073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1">
        <f>VOLUME_fast_SEK</f>
        <v>3.6</v>
      </c>
      <c r="G90" s="1071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179"/>
      <c r="O95" s="168"/>
    </row>
    <row r="96" spans="2:23" s="169" customFormat="1" ht="25.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179"/>
      <c r="O96" s="168"/>
    </row>
    <row r="97" spans="2:23" s="169" customFormat="1" ht="25.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179"/>
      <c r="O97" s="168"/>
    </row>
    <row r="98" spans="2:23" s="169" customFormat="1" ht="25.5" customHeight="1">
      <c r="B98" s="1069" t="s">
        <v>279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1" t="s">
        <v>280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3" t="s">
        <v>283</v>
      </c>
      <c r="E102" s="1013"/>
      <c r="F102" s="1013"/>
      <c r="G102" s="1013"/>
      <c r="H102" s="1013"/>
      <c r="I102" s="1013"/>
      <c r="J102" s="1013"/>
      <c r="K102" s="1013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7">
        <f>S3_storage.100_SEK</f>
        <v>270</v>
      </c>
      <c r="E104" s="1067"/>
      <c r="F104" s="1067"/>
      <c r="G104" s="1067"/>
      <c r="H104" s="1067"/>
      <c r="I104" s="1067"/>
      <c r="J104" s="1067"/>
      <c r="K104" s="1067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7">
        <f>S3_storage.1000_SEK</f>
        <v>185</v>
      </c>
      <c r="E106" s="1067"/>
      <c r="F106" s="1067"/>
      <c r="G106" s="1067"/>
      <c r="H106" s="1067"/>
      <c r="I106" s="1067"/>
      <c r="J106" s="1067"/>
      <c r="K106" s="1067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68" t="str">
        <f>S3_storage.quote_SEK</f>
        <v>Be om offert</v>
      </c>
      <c r="E107" s="1068"/>
      <c r="F107" s="1068"/>
      <c r="G107" s="1068"/>
      <c r="H107" s="1068"/>
      <c r="I107" s="1068"/>
      <c r="J107" s="1068"/>
      <c r="K107" s="1068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4" t="s">
        <v>86</v>
      </c>
      <c r="C116" s="994"/>
      <c r="D116" s="994"/>
      <c r="E116" s="994"/>
      <c r="F116" s="994"/>
      <c r="G116" s="99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4"/>
      <c r="C117" s="994"/>
      <c r="D117" s="994"/>
      <c r="E117" s="994"/>
      <c r="F117" s="994"/>
      <c r="G117" s="99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4"/>
      <c r="C118" s="994"/>
      <c r="D118" s="994"/>
      <c r="E118" s="994"/>
      <c r="F118" s="994"/>
      <c r="G118" s="99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284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1" t="s">
        <v>285</v>
      </c>
      <c r="C120" s="1021"/>
      <c r="D120" s="1021"/>
      <c r="E120" s="1021"/>
      <c r="F120" s="102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3" t="s">
        <v>286</v>
      </c>
      <c r="D123" s="1013"/>
      <c r="E123" s="131" t="s">
        <v>268</v>
      </c>
      <c r="F123" s="1013" t="s">
        <v>277</v>
      </c>
      <c r="G123" s="1013"/>
      <c r="H123" s="266" t="s">
        <v>90</v>
      </c>
      <c r="I123" s="265"/>
      <c r="J123" s="1027" t="s">
        <v>287</v>
      </c>
      <c r="K123" s="1027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1">
        <f>BAAS_on.demand_SEK</f>
        <v>2.4500000000000002</v>
      </c>
      <c r="G124" s="1062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3">
        <f>BAAS_small_SEK</f>
        <v>1.75</v>
      </c>
      <c r="G125" s="1064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5">
        <f>BAAS_large_SEK</f>
        <v>0.92</v>
      </c>
      <c r="G126" s="1066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4" t="s">
        <v>292</v>
      </c>
      <c r="C137" s="994"/>
      <c r="D137" s="994"/>
      <c r="E137" s="994"/>
      <c r="F137" s="994"/>
      <c r="G137" s="99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4"/>
      <c r="C138" s="994"/>
      <c r="D138" s="994"/>
      <c r="E138" s="994"/>
      <c r="F138" s="994"/>
      <c r="G138" s="99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4"/>
      <c r="C139" s="994"/>
      <c r="D139" s="994"/>
      <c r="E139" s="994"/>
      <c r="F139" s="994"/>
      <c r="G139" s="99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1" t="s">
        <v>285</v>
      </c>
      <c r="C140" s="1021"/>
      <c r="D140" s="1021"/>
      <c r="E140" s="1021"/>
      <c r="F140" s="102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6"/>
      <c r="C141" s="996"/>
      <c r="D141" s="996"/>
      <c r="E141" s="996"/>
      <c r="F141" s="99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4" t="s">
        <v>300</v>
      </c>
      <c r="C176" s="994"/>
      <c r="D176" s="994"/>
      <c r="E176" s="994"/>
      <c r="F176" s="994"/>
      <c r="G176" s="99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4"/>
      <c r="C177" s="994"/>
      <c r="D177" s="994"/>
      <c r="E177" s="994"/>
      <c r="F177" s="994"/>
      <c r="G177" s="99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4"/>
      <c r="C178" s="994"/>
      <c r="D178" s="994"/>
      <c r="E178" s="994"/>
      <c r="F178" s="994"/>
      <c r="G178" s="99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1" t="s">
        <v>285</v>
      </c>
      <c r="C179" s="1021"/>
      <c r="D179" s="1021"/>
      <c r="E179" s="1021"/>
      <c r="F179" s="102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6"/>
      <c r="C180" s="996"/>
      <c r="D180" s="996"/>
      <c r="E180" s="996"/>
      <c r="F180" s="99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7" t="s">
        <v>313</v>
      </c>
      <c r="C211" s="997"/>
      <c r="D211" s="997"/>
      <c r="E211" s="997"/>
      <c r="F211" s="997"/>
      <c r="G211" s="99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7"/>
      <c r="C212" s="997"/>
      <c r="D212" s="997"/>
      <c r="E212" s="997"/>
      <c r="F212" s="997"/>
      <c r="G212" s="99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7"/>
      <c r="C213" s="997"/>
      <c r="D213" s="997"/>
      <c r="E213" s="997"/>
      <c r="F213" s="997"/>
      <c r="G213" s="99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59" t="s">
        <v>314</v>
      </c>
      <c r="C214" s="1059"/>
      <c r="D214" s="1059"/>
      <c r="E214" s="1059"/>
      <c r="F214" s="105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0" t="str">
        <f>SUM(E67)&amp;" GB NVME-Disk"</f>
        <v>0 GB NVME-Disk</v>
      </c>
      <c r="G221" s="106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6" t="s">
        <v>205</v>
      </c>
      <c r="C19" s="996"/>
      <c r="D19" s="996"/>
      <c r="E19" s="996"/>
      <c r="F19" s="99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3" t="s">
        <v>221</v>
      </c>
      <c r="G98" s="1013"/>
      <c r="H98" s="1027"/>
      <c r="I98" s="1027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3">
        <f>VOLUME_large_SEK</f>
        <v>1.2</v>
      </c>
      <c r="G99" s="1073"/>
      <c r="H99" s="1076"/>
      <c r="I99" s="1076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1">
        <f>VOLUME_fast_SEK</f>
        <v>3.6</v>
      </c>
      <c r="G100" s="1071"/>
      <c r="H100" s="1078"/>
      <c r="I100" s="107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4" t="s">
        <v>344</v>
      </c>
      <c r="C105" s="994"/>
      <c r="D105" s="994"/>
      <c r="E105" s="994"/>
      <c r="F105" s="994"/>
      <c r="G105" s="99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4"/>
      <c r="C106" s="994"/>
      <c r="D106" s="994"/>
      <c r="E106" s="994"/>
      <c r="F106" s="994"/>
      <c r="G106" s="99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4"/>
      <c r="C107" s="994"/>
      <c r="D107" s="994"/>
      <c r="E107" s="994"/>
      <c r="F107" s="994"/>
      <c r="G107" s="99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3" t="s">
        <v>223</v>
      </c>
      <c r="C108" s="1043"/>
      <c r="D108" s="1043"/>
      <c r="E108" s="1043"/>
      <c r="F108" s="104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1" t="s">
        <v>345</v>
      </c>
      <c r="C109" s="1021"/>
      <c r="D109" s="1021"/>
      <c r="E109" s="1021"/>
      <c r="F109" s="102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3" t="s">
        <v>346</v>
      </c>
      <c r="E112" s="1013"/>
      <c r="F112" s="1013"/>
      <c r="G112" s="1013"/>
      <c r="H112" s="1013"/>
      <c r="I112" s="1013"/>
      <c r="J112" s="1013"/>
      <c r="K112" s="1013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79">
        <f>S3_storage.50_SUNET</f>
        <v>0.35</v>
      </c>
      <c r="E113" s="1079"/>
      <c r="F113" s="1072"/>
      <c r="G113" s="1072"/>
      <c r="H113" s="1072"/>
      <c r="I113" s="1072"/>
      <c r="J113" s="1072"/>
      <c r="K113" s="1072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7">
        <f>S3_storage.100_SUNET</f>
        <v>0.19</v>
      </c>
      <c r="E114" s="1077"/>
      <c r="F114" s="1067"/>
      <c r="G114" s="1067"/>
      <c r="H114" s="1067"/>
      <c r="I114" s="1067"/>
      <c r="J114" s="1067"/>
      <c r="K114" s="1067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0">
        <f>S3_storage.500_SUNET</f>
        <v>0.1</v>
      </c>
      <c r="E115" s="1080"/>
      <c r="F115" s="1070"/>
      <c r="G115" s="1070"/>
      <c r="H115" s="1070"/>
      <c r="I115" s="1070"/>
      <c r="J115" s="1070"/>
      <c r="K115" s="1070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7">
        <f>S3_storage.1000_SUNET</f>
        <v>0.06</v>
      </c>
      <c r="E116" s="1077"/>
      <c r="F116" s="1067"/>
      <c r="G116" s="1067"/>
      <c r="H116" s="1067"/>
      <c r="I116" s="1067"/>
      <c r="J116" s="1067"/>
      <c r="K116" s="1067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1" t="str">
        <f>S3_storage.quote_SUNET</f>
        <v>Be om offert</v>
      </c>
      <c r="E117" s="1081"/>
      <c r="F117" s="1068"/>
      <c r="G117" s="1068"/>
      <c r="H117" s="1068"/>
      <c r="I117" s="1068"/>
      <c r="J117" s="1068"/>
      <c r="K117" s="1068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3" t="s">
        <v>221</v>
      </c>
      <c r="G120" s="1013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2" cm="1">
        <f t="array" ref="F121">_xlfn.IFS(H121&lt;=299,D113,H121&lt;1000,D114,H121&lt;2000,D115,H121&gt;=2000,D116)</f>
        <v>0.35</v>
      </c>
      <c r="G121" s="1083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4">
        <f>ROUNDUP((H121*1000)*F121,2)</f>
        <v>0</v>
      </c>
      <c r="N121" s="1074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5">
        <f>SUM(M121)</f>
        <v>0</v>
      </c>
      <c r="N122" s="1075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4" t="s">
        <v>86</v>
      </c>
      <c r="C126" s="994"/>
      <c r="D126" s="994"/>
      <c r="E126" s="994"/>
      <c r="F126" s="994"/>
      <c r="G126" s="99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4"/>
      <c r="C127" s="994"/>
      <c r="D127" s="994"/>
      <c r="E127" s="994"/>
      <c r="F127" s="994"/>
      <c r="G127" s="99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4"/>
      <c r="C128" s="994"/>
      <c r="D128" s="994"/>
      <c r="E128" s="994"/>
      <c r="F128" s="994"/>
      <c r="G128" s="99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5" t="s">
        <v>87</v>
      </c>
      <c r="C129" s="1015"/>
      <c r="D129" s="1015"/>
      <c r="E129" s="1015"/>
      <c r="F129" s="101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6" t="s">
        <v>226</v>
      </c>
      <c r="C130" s="996"/>
      <c r="D130" s="996"/>
      <c r="E130" s="996"/>
      <c r="F130" s="99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3" t="s">
        <v>228</v>
      </c>
      <c r="D133" s="1013"/>
      <c r="E133" s="131" t="s">
        <v>210</v>
      </c>
      <c r="F133" s="1013" t="s">
        <v>221</v>
      </c>
      <c r="G133" s="1013"/>
      <c r="H133" s="266" t="s">
        <v>90</v>
      </c>
      <c r="I133" s="265"/>
      <c r="J133" s="1027" t="s">
        <v>229</v>
      </c>
      <c r="K133" s="1027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1">
        <f>BAAS_on.demand_SEK</f>
        <v>2.4500000000000002</v>
      </c>
      <c r="G134" s="1062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3">
        <f>BAAS_small_SEK</f>
        <v>1.75</v>
      </c>
      <c r="G135" s="1064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5">
        <f>BAAS_large_SEK</f>
        <v>0.92</v>
      </c>
      <c r="G136" s="1066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7" t="s">
        <v>260</v>
      </c>
      <c r="C150" s="997"/>
      <c r="D150" s="997"/>
      <c r="E150" s="997"/>
      <c r="F150" s="997"/>
      <c r="G150" s="99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7"/>
      <c r="C151" s="997"/>
      <c r="D151" s="997"/>
      <c r="E151" s="997"/>
      <c r="F151" s="997"/>
      <c r="G151" s="99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7"/>
      <c r="C152" s="997"/>
      <c r="D152" s="997"/>
      <c r="E152" s="997"/>
      <c r="F152" s="997"/>
      <c r="G152" s="99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59" t="s">
        <v>226</v>
      </c>
      <c r="C153" s="1059"/>
      <c r="D153" s="1059"/>
      <c r="E153" s="1059"/>
      <c r="F153" s="105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5" t="s">
        <v>196</v>
      </c>
      <c r="C160" s="1085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6" t="s">
        <v>197</v>
      </c>
      <c r="C161" s="1086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7" t="s">
        <v>199</v>
      </c>
      <c r="C163" s="1087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4">
        <f>SUM(M160:M163)</f>
        <v>0</v>
      </c>
      <c r="K164" s="1084"/>
      <c r="L164" s="1084"/>
      <c r="M164" s="1084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3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5.3900000000000006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0.3528</v>
      </c>
      <c r="G4" s="487">
        <f t="shared" si="1"/>
        <v>4.4279999999999999</v>
      </c>
      <c r="I4" s="115" t="s">
        <v>356</v>
      </c>
      <c r="K4" s="455">
        <v>9.8000000000000004E-2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7.84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9.8000000000000004E-2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539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20.854400000000002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670.32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1340.64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2681.28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0.1176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0.3528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0.24010000000000004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539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931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0.17150000000000001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9.0160000000000004E-2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49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49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49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49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34.300000000000004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26.46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19.600000000000001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18.13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2.4500000000000002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2.4500000000000001E-2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7.6440000000000001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146.804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39.200000000000003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2352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1470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110.446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134.65200000000002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125.146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134.65200000000002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111.622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134.65200000000002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2022-06-22T08:09:23Z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