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49C49FB4-2DC9-974B-BCAD-80A5105168EF}" xr6:coauthVersionLast="47" xr6:coauthVersionMax="47" xr10:uidLastSave="{00000000-0000-0000-0000-000000000000}"/>
  <workbookProtection workbookAlgorithmName="SHA-512" workbookHashValue="QFujO+yUGf+aQUONQfrtadkhIBl7APLnfkKZ7sMX+ncAI7oS/RxU2jqt7wiahpq1UmhbhsN7RLLeHpcTyDZEgQ==" workbookSaltValue="JDyRNlYRPR8s9RIFouc9zA==" workbookSpinCount="100000" lockStructure="1"/>
  <bookViews>
    <workbookView xWindow="5880" yWindow="800" windowWidth="28800" windowHeight="17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2022'!$A$1:$N$314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2" l="1"/>
  <c r="K162" i="11"/>
  <c r="K163" i="11"/>
  <c r="K164" i="11"/>
  <c r="K162" i="3"/>
  <c r="K163" i="3"/>
  <c r="K164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1" i="3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K165" i="3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1" i="3"/>
  <c r="K162" i="12"/>
  <c r="K70" i="11"/>
  <c r="K73" i="11" s="1"/>
  <c r="F72" i="11"/>
  <c r="F89" i="8"/>
  <c r="K89" i="8" s="1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G79" i="3"/>
  <c r="E89" i="8" l="1"/>
  <c r="F80" i="11"/>
  <c r="L84" i="10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<sst xmlns="http://schemas.openxmlformats.org/spreadsheetml/2006/main" count="2178" uniqueCount="675">
  <si>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</si>
  <si>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</si>
  <si>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</si>
  <si>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</si>
  <si>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</si>
  <si>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</si>
  <si>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</si>
  <si>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</si>
  <si>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</si>
  <si>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</si>
  <si>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</si>
  <si>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</si>
  <si>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</si>
  <si>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</si>
  <si>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</si>
  <si>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</si>
  <si>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</si>
  <si>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</si>
  <si>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</si>
  <si>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</si>
  <si>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</si>
  <si>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</si>
  <si>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</si>
  <si>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</si>
  <si>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</si>
  <si>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</si>
  <si>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</si>
  <si>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</si>
  <si>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</si>
  <si>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</si>
  <si>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</si>
  <si>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</si>
  <si>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</si>
  <si>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</si>
  <si>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</si>
  <si>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</si>
  <si>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</si>
  <si>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</si>
  <si>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</si>
  <si>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</si>
  <si>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</si>
  <si>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</si>
  <si>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</si>
  <si>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</si>
  <si>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</si>
  <si>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</si>
  <si>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</si>
  <si>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</si>
  <si>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</si>
  <si>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</si>
  <si>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</si>
  <si>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</si>
  <si>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</si>
  <si>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</si>
  <si>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</si>
  <si>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</si>
  <si>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</si>
  <si>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</si>
  <si>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</si>
  <si>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</si>
  <si>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</si>
  <si>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</si>
  <si>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</si>
  <si>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</si>
  <si>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</si>
  <si>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</si>
  <si>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</si>
  <si>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</si>
  <si>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</si>
  <si>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</si>
  <si>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</si>
  <si>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</si>
  <si>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</si>
  <si>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</si>
  <si>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</si>
  <si>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</si>
  <si>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</si>
  <si>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</si>
  <si>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</si>
  <si>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</si>
  <si>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</si>
  <si>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</si>
  <si>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</si>
  <si>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</si>
  <si>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</si>
  <si>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</si>
  <si>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</si>
  <si>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</si>
  <si>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</si>
  <si>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</si>
  <si>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</si>
  <si>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</si>
  <si>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</si>
  <si>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</si>
  <si>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</si>
  <si>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</si>
  <si>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</si>
  <si>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</si>
  <si>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</si>
  <si>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</si>
  <si>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</si>
  <si>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</si>
  <si>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</si>
  <si>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</si>
  <si>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</si>
  <si>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</si>
  <si>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</si>
  <si>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</si>
  <si>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</si>
  <si>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</si>
  <si>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</si>
  <si>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</si>
  <si>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</si>
  <si>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</si>
  <si>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</si>
  <si>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</si>
  <si>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</si>
  <si>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</si>
  <si>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</si>
  <si>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</si>
  <si>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</si>
  <si>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</si>
  <si>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</si>
  <si>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</si>
  <si>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</si>
  <si>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</si>
  <si>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</si>
  <si>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</si>
  <si>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</si>
  <si>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</si>
  <si>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</si>
  <si>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</si>
  <si>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</si>
  <si>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</si>
  <si>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</si>
  <si>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</si>
  <si>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</si>
  <si>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</si>
  <si>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</si>
  <si>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</si>
  <si>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</si>
  <si>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</si>
  <si>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</si>
  <si>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</si>
  <si>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</si>
  <si>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</si>
  <si>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</si>
  <si>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</si>
  <si>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</si>
  <si>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</si>
  <si>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</si>
  <si>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</si>
  <si>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</si>
  <si>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</si>
  <si>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</si>
  <si>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</si>
  <si>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</si>
  <si>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</si>
  <si>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</si>
  <si>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</si>
  <si>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</si>
  <si>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</si>
  <si>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</si>
  <si>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</si>
  <si>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</si>
  <si>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</si>
  <si>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</si>
  <si>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</si>
  <si>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</si>
  <si>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</si>
  <si>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</si>
  <si>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</si>
  <si>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</si>
  <si>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</si>
  <si>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</si>
  <si>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</si>
  <si>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</si>
  <si>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</si>
  <si>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</si>
  <si>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</si>
  <si>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</si>
  <si>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</si>
  <si>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</si>
  <si>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</si>
  <si>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</si>
  <si>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</si>
  <si>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</si>
  <si>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</si>
  <si>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</si>
  <si>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</si>
  <si>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</si>
  <si>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</si>
  <si>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</si>
  <si>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</si>
  <si>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</si>
  <si>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</si>
  <si>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</si>
  <si>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</si>
  <si>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</si>
  <si>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</si>
  <si>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</si>
  <si>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</si>
  <si>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</si>
  <si>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</si>
  <si>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</si>
  <si>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</si>
  <si>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</si>
  <si>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</si>
  <si>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</si>
  <si>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</si>
  <si>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</si>
  <si>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</si>
  <si>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</si>
  <si>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</si>
  <si>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</si>
  <si>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</si>
  <si>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</si>
  <si>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</si>
  <si>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</si>
  <si>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</si>
  <si>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</si>
  <si>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</si>
  <si>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</si>
  <si>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</si>
  <si>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</si>
  <si>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</si>
  <si>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</si>
  <si>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</si>
  <si>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</si>
  <si>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</si>
  <si>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</si>
  <si>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</si>
  <si>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</si>
  <si>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</si>
  <si>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</si>
  <si>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</si>
  <si>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</si>
  <si>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</si>
  <si>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</si>
  <si>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</si>
  <si>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</si>
  <si>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</si>
  <si>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</si>
  <si>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</si>
  <si>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</si>
  <si>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</si>
  <si>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</si>
  <si>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</si>
  <si>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</si>
  <si>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</si>
  <si>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</si>
  <si>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</si>
  <si>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</si>
  <si>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</si>
  <si>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</si>
  <si>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</si>
  <si>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</si>
  <si>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</si>
  <si>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</si>
  <si>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</si>
  <si>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</si>
  <si>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</si>
  <si>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</si>
  <si>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</si>
  <si>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</si>
  <si>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</si>
  <si>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</si>
  <si>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</si>
  <si>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</si>
  <si>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</si>
  <si>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</si>
  <si>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</si>
  <si>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</si>
  <si>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</si>
  <si>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</si>
  <si>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</si>
  <si>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</si>
  <si>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</si>
  <si>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</si>
  <si>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</si>
  <si>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</si>
  <si>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</si>
  <si>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</si>
  <si>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</si>
  <si>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</si>
  <si>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</si>
  <si>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</si>
  <si>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</si>
  <si>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</si>
  <si>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</si>
  <si>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</si>
  <si>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</si>
  <si>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</si>
  <si>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</si>
  <si>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</si>
  <si>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</si>
  <si>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</si>
  <si>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</si>
  <si>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</si>
  <si>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</si>
  <si>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</si>
  <si>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</si>
  <si>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</si>
  <si>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</si>
  <si>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</si>
  <si>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</si>
  <si>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</si>
  <si>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</si>
  <si>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</si>
  <si>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</si>
  <si>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</si>
  <si>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</si>
  <si>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</si>
  <si>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</si>
  <si>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</si>
  <si>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</si>
  <si>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</si>
  <si>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</si>
  <si>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</si>
  <si>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</si>
  <si>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</si>
  <si>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</si>
  <si>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</si>
  <si>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</si>
  <si>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</si>
  <si>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</si>
  <si>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</si>
  <si>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</si>
  <si>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</si>
  <si>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</si>
  <si>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</si>
  <si>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</si>
  <si>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</si>
  <si>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</si>
  <si>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</si>
  <si>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</si>
  <si>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</si>
  <si>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</si>
  <si>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</si>
  <si>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</si>
  <si>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</si>
  <si>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</si>
  <si>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</si>
  <si>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</si>
  <si>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</si>
  <si>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</si>
  <si>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</si>
  <si>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</si>
  <si>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</si>
  <si>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</si>
  <si>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</si>
  <si>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</si>
  <si>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</si>
  <si>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</si>
  <si>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</si>
  <si>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</si>
  <si>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</si>
  <si>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</si>
  <si>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</si>
  <si>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</si>
  <si>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</si>
  <si>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</si>
  <si>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</si>
  <si>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</si>
  <si>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</si>
  <si>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</si>
  <si>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</si>
  <si>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</si>
  <si>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</si>
  <si>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</si>
  <si>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</si>
  <si>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</si>
  <si>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</si>
  <si>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</si>
  <si>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</si>
  <si>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</si>
  <si>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</si>
  <si>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</si>
  <si>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</si>
  <si>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</si>
  <si>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</si>
  <si>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</si>
  <si>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</si>
  <si>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</si>
  <si>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</si>
  <si>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</si>
  <si>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</si>
  <si>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</si>
  <si>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</si>
  <si>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</si>
  <si>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</si>
  <si>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</si>
  <si>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</si>
  <si>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</si>
  <si>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</si>
  <si>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</si>
  <si>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</si>
  <si>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</si>
  <si>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</si>
  <si>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</si>
  <si>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</si>
  <si>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</si>
  <si>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</si>
  <si>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</si>
  <si>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</si>
  <si>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</si>
  <si>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</si>
  <si>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</si>
  <si>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</si>
  <si>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</si>
  <si>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</si>
  <si>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</si>
  <si>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</si>
  <si>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</si>
  <si>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</si>
  <si>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</si>
  <si>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</si>
  <si>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</si>
  <si>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</si>
  <si>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</si>
  <si>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</si>
  <si>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</si>
  <si>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</si>
  <si>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</si>
  <si>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</si>
  <si>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</si>
  <si>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</si>
  <si>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</si>
  <si>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</si>
  <si>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</si>
  <si>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</si>
  <si>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</si>
  <si>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</si>
  <si>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</si>
  <si>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</si>
  <si>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</si>
  <si>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</si>
  <si>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</si>
  <si>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</si>
  <si>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</si>
  <si>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</si>
  <si>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</si>
  <si>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</si>
  <si>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</si>
  <si>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</si>
  <si>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</si>
  <si>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</si>
  <si>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</si>
  <si>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</si>
  <si>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</si>
  <si>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</si>
  <si>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</si>
  <si>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</si>
  <si>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</si>
  <si>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</si>
  <si>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</si>
  <si>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</si>
  <si>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</si>
  <si>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</si>
  <si>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</si>
  <si>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</si>
  <si>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</si>
  <si>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</si>
  <si>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</si>
  <si>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</si>
  <si>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</si>
  <si>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</si>
  <si>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</si>
  <si>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</si>
  <si>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</si>
  <si>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</si>
  <si>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</si>
  <si>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</si>
  <si>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</si>
  <si>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</si>
  <si>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</si>
  <si>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</si>
  <si>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</si>
  <si>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</si>
  <si>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</si>
  <si>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</si>
  <si>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</si>
  <si>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</si>
  <si>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</si>
  <si>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</si>
  <si>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</si>
  <si>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</si>
  <si>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</si>
  <si>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</si>
  <si>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</si>
  <si>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</si>
  <si>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</si>
  <si>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</si>
  <si>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</si>
  <si>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</si>
  <si>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</si>
  <si>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</si>
  <si>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</si>
  <si>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</si>
  <si>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</si>
  <si>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</si>
  <si>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</si>
  <si>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</si>
  <si>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</si>
  <si>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</si>
  <si>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</si>
  <si>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</si>
  <si>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</si>
  <si>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</si>
  <si>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</si>
  <si>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</si>
  <si>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</si>
  <si>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</si>
  <si>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</si>
  <si>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</si>
  <si>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</si>
  <si>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</si>
  <si>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</si>
  <si>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</si>
  <si>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</si>
  <si>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</si>
  <si>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</si>
  <si>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</si>
  <si>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</si>
  <si>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</si>
  <si>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</si>
  <si>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</si>
  <si>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</si>
  <si>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</si>
  <si>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</si>
  <si>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</si>
  <si>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</si>
  <si>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</si>
  <si>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</si>
  <si>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</si>
  <si>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</si>
  <si>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</si>
  <si>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</si>
  <si>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</si>
  <si>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</si>
  <si>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</si>
  <si>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</si>
  <si>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</si>
  <si>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</si>
  <si>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</si>
  <si>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</si>
  <si>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</si>
  <si>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</si>
  <si>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</si>
  <si>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</si>
  <si>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</si>
  <si>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</si>
  <si>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</si>
  <si>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</si>
  <si>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</si>
  <si>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</si>
  <si>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</si>
  <si>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</si>
  <si>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</si>
  <si>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</si>
  <si>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</si>
  <si>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</si>
  <si>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</si>
  <si>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</si>
  <si>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</si>
  <si>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</si>
  <si>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</si>
  <si>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</si>
  <si>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</si>
  <si>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</si>
  <si>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</si>
  <si>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</si>
  <si>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</si>
  <si>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</si>
  <si>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</si>
  <si>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</si>
  <si>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</si>
  <si>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</si>
  <si>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</si>
  <si>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</si>
  <si>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</si>
  <si>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</si>
  <si>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</si>
  <si>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</si>
  <si>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</si>
  <si>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</si>
  <si>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</si>
  <si>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</si>
  <si>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</si>
  <si>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</si>
  <si>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</si>
  <si>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</si>
  <si>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</si>
  <si>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</si>
  <si>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</si>
  <si>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</si>
  <si>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</si>
  <si>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</si>
  <si>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</si>
  <si>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</si>
  <si>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</si>
  <si>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</si>
  <si>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</si>
  <si>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</si>
  <si>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</si>
  <si>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</si>
  <si>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</si>
  <si>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</si>
  <si>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</si>
  <si>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</si>
  <si>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</si>
  <si>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</si>
  <si>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</si>
  <si>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</si>
  <si>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</si>
  <si>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</si>
  <si>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</si>
  <si>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</si>
  <si>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</si>
  <si>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</si>
  <si>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</si>
  <si>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</si>
  <si>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</si>
  <si>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</si>
  <si>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</si>
  <si>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</si>
  <si>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</si>
  <si>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</si>
  <si>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</si>
  <si>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</si>
  <si>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</si>
  <si>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</si>
  <si>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</si>
  <si>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</si>
  <si>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</si>
  <si>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</si>
  <si>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</si>
  <si>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</si>
  <si>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</si>
  <si>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</si>
  <si>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</si>
  <si>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</si>
  <si>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</si>
  <si>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</si>
  <si>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</si>
  <si>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</si>
  <si>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</si>
  <si>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</si>
  <si>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</si>
  <si>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</si>
  <si>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</si>
  <si>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</si>
  <si>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</si>
  <si>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</si>
  <si>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</si>
  <si>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</si>
  <si>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</si>
  <si>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</si>
  <si>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</si>
  <si>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</si>
  <si>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</si>
  <si>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</si>
  <si>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</si>
  <si>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</si>
  <si>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</si>
  <si>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</si>
  <si>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Priskalkylator 2022-06-22</t>
  </si>
  <si>
    <t>Price calculator 2022-06-22</t>
  </si>
  <si>
    <t>Priskalkulator 22.06.2022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</si>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</sst>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  <font>
      <sz val="48"/>
      <color theme="4"/>
      <name val="Hind Ligh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tabSelected="1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666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659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4" t="s">
        <v>408</v>
      </c>
      <c r="C19" s="984"/>
      <c r="D19" s="984"/>
      <c r="E19" s="984"/>
      <c r="F19" s="984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5" t="s">
        <v>652</v>
      </c>
      <c r="C24" s="985"/>
      <c r="D24" s="985"/>
      <c r="E24" s="985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9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2"/>
      <c r="M42" s="716"/>
    </row>
    <row r="43" spans="2:19" ht="25" customHeight="1">
      <c r="B43" s="985" t="s">
        <v>652</v>
      </c>
      <c r="C43" s="985"/>
      <c r="D43" s="985"/>
      <c r="E43" s="985"/>
      <c r="M43" s="695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7" t="s">
        <v>215</v>
      </c>
      <c r="M44" s="719"/>
      <c r="O44" s="13"/>
      <c r="P44" s="720"/>
      <c r="Q44" s="720"/>
      <c r="R44" s="720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653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1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ref="G62:G63" si="7">H62/720</f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7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653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8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8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8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95"/>
    </row>
    <row r="78" spans="2:20" s="746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4" t="s">
        <v>66</v>
      </c>
      <c r="J78" s="24"/>
      <c r="K78" s="614" t="s">
        <v>534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0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8" t="s">
        <v>660</v>
      </c>
      <c r="C85" s="968"/>
      <c r="D85" s="968"/>
      <c r="E85" s="968"/>
      <c r="F85" s="968"/>
      <c r="G85" s="968"/>
      <c r="H85" s="968"/>
      <c r="I85" s="968"/>
      <c r="J85" s="968"/>
      <c r="K85" s="968"/>
      <c r="M85" s="674"/>
    </row>
    <row r="86" spans="2:20" s="4" customFormat="1" ht="25" customHeight="1">
      <c r="B86" s="968"/>
      <c r="C86" s="968"/>
      <c r="D86" s="968"/>
      <c r="E86" s="968"/>
      <c r="F86" s="968"/>
      <c r="G86" s="968"/>
      <c r="H86" s="968"/>
      <c r="I86" s="968"/>
      <c r="J86" s="968"/>
      <c r="K86" s="968"/>
      <c r="M86" s="674"/>
    </row>
    <row r="87" spans="2:20" s="4" customFormat="1" ht="25" customHeight="1">
      <c r="B87" s="968"/>
      <c r="C87" s="968"/>
      <c r="D87" s="968"/>
      <c r="E87" s="968"/>
      <c r="F87" s="968"/>
      <c r="G87" s="968"/>
      <c r="H87" s="968"/>
      <c r="I87" s="968"/>
      <c r="J87" s="968"/>
      <c r="K87" s="968"/>
      <c r="M87" s="674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4" t="s">
        <v>224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964" t="s">
        <v>657</v>
      </c>
      <c r="D93" s="96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0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19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19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19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19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19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19" s="4" customFormat="1" ht="25" customHeight="1">
      <c r="B108" s="968" t="s">
        <v>671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19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19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4"/>
      <c r="L112" s="764"/>
      <c r="M112" s="688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228</v>
      </c>
      <c r="F115" s="789"/>
      <c r="G115" s="24" t="s">
        <v>619</v>
      </c>
      <c r="H115" s="24"/>
      <c r="I115" s="744" t="s">
        <v>90</v>
      </c>
      <c r="J115" s="744" t="s">
        <v>458</v>
      </c>
      <c r="K115" s="614" t="s">
        <v>92</v>
      </c>
      <c r="L115" s="738"/>
      <c r="M115" s="960" t="s">
        <v>454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455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456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457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662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663</v>
      </c>
      <c r="C127" s="505"/>
      <c r="D127" s="505"/>
      <c r="E127" s="505"/>
      <c r="F127" s="505"/>
      <c r="H127" s="685"/>
      <c r="I127" s="684"/>
      <c r="J127" s="686"/>
      <c r="K127" s="864"/>
      <c r="L127" s="764"/>
      <c r="M127" s="688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9" t="s">
        <v>445</v>
      </c>
      <c r="D130" s="969"/>
      <c r="E130" s="969" t="s">
        <v>446</v>
      </c>
      <c r="F130" s="969"/>
      <c r="G130" s="969" t="s">
        <v>228</v>
      </c>
      <c r="H130" s="96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444</v>
      </c>
      <c r="F131" s="977"/>
      <c r="G131" s="971">
        <v>15000</v>
      </c>
      <c r="H131" s="972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443</v>
      </c>
      <c r="D132" s="976"/>
      <c r="E132" s="978" t="s">
        <v>447</v>
      </c>
      <c r="F132" s="978"/>
      <c r="G132" s="973">
        <v>24000</v>
      </c>
      <c r="H132" s="974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234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3"/>
      <c r="M140" s="70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95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2" t="s">
        <v>107</v>
      </c>
      <c r="K145" s="858">
        <f>NET_publicv4_SEK</f>
        <v>25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3"/>
      <c r="G146" s="793"/>
      <c r="H146" s="793"/>
      <c r="I146" s="793"/>
      <c r="J146" s="794" t="s">
        <v>94</v>
      </c>
      <c r="K146" s="556">
        <f>NET_publicv6_SEK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2" t="s">
        <v>69</v>
      </c>
      <c r="K147" s="557">
        <f>NET_ingress_SEK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3"/>
      <c r="G148" s="793"/>
      <c r="H148" s="793"/>
      <c r="I148" s="793"/>
      <c r="J148" s="795" t="s">
        <v>69</v>
      </c>
      <c r="K148" s="556">
        <f>NET_egress_SEK</f>
        <v>0.25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2" t="s">
        <v>240</v>
      </c>
      <c r="K149" s="557" t="str">
        <f>NET_mgn.slb_SEK</f>
        <v>Begär offert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556">
        <f>NET_rdns_SEK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557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459</v>
      </c>
      <c r="M156" s="695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858">
        <f>SW_win.ser.201X_SEK</f>
        <v>78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859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669</v>
      </c>
      <c r="C160" s="129"/>
      <c r="D160" s="30"/>
      <c r="E160" s="30" t="s">
        <v>670</v>
      </c>
      <c r="F160" s="30"/>
      <c r="G160" s="30"/>
      <c r="H160" s="30"/>
      <c r="I160" s="30"/>
      <c r="J160" s="792" t="s">
        <v>10</v>
      </c>
      <c r="K160" s="858">
        <f>SW_win.ser.201X_SEK</f>
        <v>78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859">
        <f>SW_ms.sql.ser_SEK</f>
        <v>1498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858" t="str">
        <f>SW_nextcloud_SEK</f>
        <v>Begär offert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859" t="str">
        <f>SW_suse_SEK</f>
        <v>Begär offert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858" t="str">
        <f>SW_cluster.control_SEK</f>
        <v>3x instanspris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138</v>
      </c>
      <c r="K165" s="859">
        <f>SW_backup.ninja_SEK</f>
        <v>400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460</v>
      </c>
      <c r="M170" s="695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9">
        <f>PAAS_man.kubernetes_SEK</f>
        <v>24000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859">
        <f>PAAS_man.postgres.sql_SEK</f>
        <v>15000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3"/>
      <c r="G175" s="793"/>
      <c r="H175" s="793"/>
      <c r="I175" s="793"/>
      <c r="J175" s="801"/>
      <c r="K175" s="556">
        <f>PAAS_openshift_SEK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556" t="str">
        <f>PAAS_man.mariadb_SEK</f>
        <v>Begär offert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8" t="s">
        <v>244</v>
      </c>
      <c r="C182" s="968"/>
      <c r="D182" s="968"/>
      <c r="E182" s="968"/>
      <c r="F182" s="968"/>
      <c r="G182" s="968"/>
      <c r="H182" s="802"/>
      <c r="J182" s="681"/>
      <c r="K182" s="863"/>
      <c r="M182" s="702"/>
    </row>
    <row r="183" spans="2:20" s="4" customFormat="1" ht="25" customHeight="1">
      <c r="B183" s="968"/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89" t="s">
        <v>546</v>
      </c>
      <c r="C185" s="989"/>
      <c r="D185" s="989"/>
      <c r="E185" s="989"/>
      <c r="F185" s="989"/>
      <c r="H185" s="802"/>
      <c r="J185" s="681"/>
      <c r="K185" s="863"/>
      <c r="M185" s="702"/>
    </row>
    <row r="186" spans="2:20" s="4" customFormat="1" ht="25" customHeight="1">
      <c r="B186" s="984" t="s">
        <v>420</v>
      </c>
      <c r="C186" s="984"/>
      <c r="D186" s="984"/>
      <c r="E186" s="984"/>
      <c r="F186" s="984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542</v>
      </c>
      <c r="M189" s="695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7" t="s">
        <v>94</v>
      </c>
      <c r="J191" s="797"/>
      <c r="K191" s="557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245</v>
      </c>
      <c r="J192" s="795"/>
      <c r="K192" s="556" t="s">
        <v>537</v>
      </c>
      <c r="L192" s="757"/>
      <c r="M192" s="897" t="s">
        <v>661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247</v>
      </c>
      <c r="J193" s="792"/>
      <c r="K193" s="557" t="s">
        <v>248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250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543</v>
      </c>
      <c r="M197" s="695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247</v>
      </c>
      <c r="J199" s="792"/>
      <c r="K199" s="631">
        <f>PS_consult.jun_SEK</f>
        <v>1127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247</v>
      </c>
      <c r="J200" s="795"/>
      <c r="K200" s="898">
        <f>PS_consult.sen_SEK</f>
        <v>1374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247</v>
      </c>
      <c r="J201" s="792"/>
      <c r="K201" s="631">
        <f>PS_cloudarch.jun_SEK</f>
        <v>1277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247</v>
      </c>
      <c r="J202" s="795"/>
      <c r="K202" s="898">
        <f>PS_cloudarch.sen_SEK</f>
        <v>1374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247</v>
      </c>
      <c r="J203" s="792"/>
      <c r="K203" s="631">
        <f>PS_pm.jun_SEK</f>
        <v>1139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247</v>
      </c>
      <c r="J204" s="795"/>
      <c r="K204" s="898">
        <f>PS_pm.sen_SEK</f>
        <v>1374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544</v>
      </c>
      <c r="M208" s="695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2" t="s">
        <v>254</v>
      </c>
      <c r="H210" s="792"/>
      <c r="I210" s="792" t="s">
        <v>255</v>
      </c>
      <c r="J210" s="792"/>
      <c r="K210" s="557" t="s">
        <v>248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3"/>
      <c r="G211" s="795" t="s">
        <v>254</v>
      </c>
      <c r="H211" s="795"/>
      <c r="I211" s="795" t="s">
        <v>255</v>
      </c>
      <c r="J211" s="795"/>
      <c r="K211" s="556" t="s">
        <v>248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2" t="s">
        <v>258</v>
      </c>
      <c r="H212" s="792"/>
      <c r="I212" s="792" t="s">
        <v>255</v>
      </c>
      <c r="J212" s="792"/>
      <c r="K212" s="557" t="s">
        <v>248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3"/>
      <c r="G213" s="795" t="s">
        <v>258</v>
      </c>
      <c r="H213" s="795"/>
      <c r="I213" s="795" t="s">
        <v>255</v>
      </c>
      <c r="J213" s="795"/>
      <c r="K213" s="556" t="s">
        <v>248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7" t="s">
        <v>260</v>
      </c>
      <c r="C220" s="987"/>
      <c r="D220" s="987"/>
      <c r="E220" s="987"/>
      <c r="F220" s="987"/>
      <c r="G220" s="987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7"/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8" t="s">
        <v>420</v>
      </c>
      <c r="C223" s="988"/>
      <c r="D223" s="988"/>
      <c r="E223" s="988"/>
      <c r="F223" s="988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666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4"/>
      <c r="G231" s="825"/>
      <c r="H231" s="825"/>
      <c r="I231" s="826"/>
      <c r="J231" s="667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667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8"/>
      <c r="H233" s="828"/>
      <c r="I233" s="775"/>
      <c r="J233" s="437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222</v>
      </c>
      <c r="C234" s="659"/>
      <c r="D234" s="660"/>
      <c r="E234" s="660"/>
      <c r="F234" s="832"/>
      <c r="G234" s="833"/>
      <c r="H234" s="833"/>
      <c r="I234" s="834"/>
      <c r="J234" s="668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GPJ/eJ1VqdwmfWfxqZ08cGHOE6lOnzclxtREpIEagyTG95ZpbLzzCwL7gfL+5TtUo9YPTh1QmAXhbcWIdUl18Q==" saltValue="hM6OAW1OpvBfach0340sVw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667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672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4"/>
      <c r="L20" s="764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90" t="s">
        <v>647</v>
      </c>
      <c r="C24" s="990"/>
      <c r="D24" s="990"/>
      <c r="E24" s="990"/>
      <c r="F24" s="990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7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1">
        <f t="shared" ref="F26:F37" si="0">G26/720</f>
        <v>6.133333333333333E-2</v>
      </c>
      <c r="G26" s="921">
        <f t="shared" ref="G26:G37" si="1">C26*IAAS_vcpu_EUR+D26*IAAS_ram_EUR+E26*IAAS_nvme_EUR</f>
        <v>44.16</v>
      </c>
      <c r="H26" s="44"/>
      <c r="I26" s="701"/>
      <c r="J26" s="44"/>
      <c r="K26" s="923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2">
        <f t="shared" si="0"/>
        <v>0.11244444444444443</v>
      </c>
      <c r="G27" s="922">
        <f t="shared" si="1"/>
        <v>80.959999999999994</v>
      </c>
      <c r="H27" s="46"/>
      <c r="I27" s="701"/>
      <c r="J27" s="46"/>
      <c r="K27" s="924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1">
        <f t="shared" si="0"/>
        <v>0.17633333333333331</v>
      </c>
      <c r="G28" s="921">
        <f t="shared" si="1"/>
        <v>126.96</v>
      </c>
      <c r="H28" s="44"/>
      <c r="I28" s="701"/>
      <c r="J28" s="44"/>
      <c r="K28" s="923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2">
        <f t="shared" si="0"/>
        <v>0.10988888888888887</v>
      </c>
      <c r="G29" s="922">
        <f t="shared" si="1"/>
        <v>79.11999999999999</v>
      </c>
      <c r="H29" s="46"/>
      <c r="I29" s="701"/>
      <c r="J29" s="46"/>
      <c r="K29" s="924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1">
        <f t="shared" si="0"/>
        <v>0.16099999999999998</v>
      </c>
      <c r="G30" s="921">
        <f t="shared" si="1"/>
        <v>115.91999999999999</v>
      </c>
      <c r="H30" s="44"/>
      <c r="I30" s="701"/>
      <c r="J30" s="44"/>
      <c r="K30" s="923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2">
        <f t="shared" si="0"/>
        <v>0.22488888888888886</v>
      </c>
      <c r="G31" s="922">
        <f t="shared" si="1"/>
        <v>161.91999999999999</v>
      </c>
      <c r="H31" s="46"/>
      <c r="I31" s="701"/>
      <c r="J31" s="46"/>
      <c r="K31" s="924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1">
        <f t="shared" si="0"/>
        <v>0.20699999999999996</v>
      </c>
      <c r="G32" s="921">
        <f t="shared" si="1"/>
        <v>149.03999999999996</v>
      </c>
      <c r="H32" s="44"/>
      <c r="I32" s="701"/>
      <c r="J32" s="44"/>
      <c r="K32" s="923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2">
        <f t="shared" si="0"/>
        <v>0.25811111111111107</v>
      </c>
      <c r="G33" s="922">
        <f t="shared" si="1"/>
        <v>185.83999999999997</v>
      </c>
      <c r="H33" s="46"/>
      <c r="I33" s="701"/>
      <c r="J33" s="46"/>
      <c r="K33" s="924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1">
        <f t="shared" si="0"/>
        <v>0.32199999999999995</v>
      </c>
      <c r="G34" s="921">
        <f t="shared" si="1"/>
        <v>231.83999999999997</v>
      </c>
      <c r="H34" s="44"/>
      <c r="I34" s="701"/>
      <c r="J34" s="44"/>
      <c r="K34" s="923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2">
        <f t="shared" si="0"/>
        <v>0.40122222222222215</v>
      </c>
      <c r="G35" s="922">
        <f t="shared" si="1"/>
        <v>288.87999999999994</v>
      </c>
      <c r="H35" s="46"/>
      <c r="I35" s="701"/>
      <c r="J35" s="46"/>
      <c r="K35" s="924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1">
        <f t="shared" si="0"/>
        <v>0.45233333333333325</v>
      </c>
      <c r="G36" s="921">
        <f t="shared" si="1"/>
        <v>325.67999999999995</v>
      </c>
      <c r="H36" s="44"/>
      <c r="I36" s="701"/>
      <c r="J36" s="44"/>
      <c r="K36" s="923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2">
        <f t="shared" si="0"/>
        <v>0.51622222222222214</v>
      </c>
      <c r="G37" s="922">
        <f t="shared" si="1"/>
        <v>371.67999999999995</v>
      </c>
      <c r="H37" s="46"/>
      <c r="I37" s="701"/>
      <c r="J37" s="46"/>
      <c r="K37" s="924">
        <f t="shared" si="2"/>
        <v>0</v>
      </c>
      <c r="M37" s="702"/>
      <c r="P37" s="689"/>
      <c r="R37" s="689"/>
    </row>
    <row r="38" spans="2:18" s="904" customFormat="1" ht="25" customHeight="1">
      <c r="B38" s="900" t="s">
        <v>30</v>
      </c>
      <c r="C38" s="901" cm="1">
        <f t="array" ref="C38">SUM(C26:C37*I26:I37)</f>
        <v>0</v>
      </c>
      <c r="D38" s="901" cm="1">
        <f t="array" ref="D38">SUM(D26:D37*I26:I37)</f>
        <v>0</v>
      </c>
      <c r="E38" s="926" cm="1">
        <f t="array" ref="E38">SUM(E26:E37*I26:I37)</f>
        <v>0</v>
      </c>
      <c r="F38" s="901"/>
      <c r="G38" s="901"/>
      <c r="H38" s="901"/>
      <c r="I38" s="901">
        <f>SUM(I26:I37)</f>
        <v>0</v>
      </c>
      <c r="J38" s="901"/>
      <c r="K38" s="925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2"/>
      <c r="M42" s="716"/>
    </row>
    <row r="43" spans="2:18" ht="25" customHeight="1">
      <c r="B43" s="990" t="s">
        <v>647</v>
      </c>
      <c r="C43" s="990"/>
      <c r="D43" s="990"/>
      <c r="E43" s="990"/>
      <c r="F43" s="990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7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1">
        <f t="shared" ref="F45:F54" si="3">G45/720</f>
        <v>2.4277777777777773E-2</v>
      </c>
      <c r="G45" s="921">
        <f t="shared" ref="G45:G54" si="4">C45*IAAS_vcpu_EUR+D45*IAAS_ram_EUR+E45*IAAS_ssd_EUR</f>
        <v>17.479999999999997</v>
      </c>
      <c r="H45" s="44"/>
      <c r="I45" s="701"/>
      <c r="J45" s="44"/>
      <c r="K45" s="923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2">
        <f t="shared" si="3"/>
        <v>3.833333333333333E-2</v>
      </c>
      <c r="G46" s="922">
        <f t="shared" si="4"/>
        <v>27.599999999999998</v>
      </c>
      <c r="H46" s="46"/>
      <c r="I46" s="701"/>
      <c r="J46" s="46"/>
      <c r="K46" s="924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1">
        <f t="shared" si="3"/>
        <v>4.8555555555555546E-2</v>
      </c>
      <c r="G47" s="921">
        <f t="shared" si="4"/>
        <v>34.959999999999994</v>
      </c>
      <c r="H47" s="44"/>
      <c r="I47" s="701"/>
      <c r="J47" s="44"/>
      <c r="K47" s="923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2">
        <f t="shared" si="3"/>
        <v>7.6666666666666661E-2</v>
      </c>
      <c r="G48" s="922">
        <f t="shared" si="4"/>
        <v>55.199999999999996</v>
      </c>
      <c r="H48" s="46"/>
      <c r="I48" s="701"/>
      <c r="J48" s="46"/>
      <c r="K48" s="924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1">
        <f t="shared" si="3"/>
        <v>9.7111111111111093E-2</v>
      </c>
      <c r="G49" s="921">
        <f t="shared" si="4"/>
        <v>69.919999999999987</v>
      </c>
      <c r="H49" s="44"/>
      <c r="I49" s="701"/>
      <c r="J49" s="44"/>
      <c r="K49" s="923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2">
        <f t="shared" si="3"/>
        <v>0.15333333333333332</v>
      </c>
      <c r="G50" s="922">
        <f t="shared" si="4"/>
        <v>110.39999999999999</v>
      </c>
      <c r="H50" s="46"/>
      <c r="I50" s="701"/>
      <c r="J50" s="46"/>
      <c r="K50" s="924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1">
        <f t="shared" si="3"/>
        <v>0.19422222222222219</v>
      </c>
      <c r="G51" s="921">
        <f t="shared" si="4"/>
        <v>139.83999999999997</v>
      </c>
      <c r="H51" s="44"/>
      <c r="I51" s="701"/>
      <c r="J51" s="44"/>
      <c r="K51" s="923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2">
        <f t="shared" si="3"/>
        <v>0.30666666666666664</v>
      </c>
      <c r="G52" s="922">
        <f t="shared" si="4"/>
        <v>220.79999999999998</v>
      </c>
      <c r="H52" s="46"/>
      <c r="I52" s="701"/>
      <c r="J52" s="46"/>
      <c r="K52" s="924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1">
        <f t="shared" si="3"/>
        <v>0.38844444444444437</v>
      </c>
      <c r="G53" s="921">
        <f t="shared" si="4"/>
        <v>279.67999999999995</v>
      </c>
      <c r="H53" s="44"/>
      <c r="I53" s="701"/>
      <c r="J53" s="44"/>
      <c r="K53" s="923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2">
        <f t="shared" si="3"/>
        <v>0.61333333333333329</v>
      </c>
      <c r="G54" s="922">
        <f t="shared" si="4"/>
        <v>441.59999999999997</v>
      </c>
      <c r="H54" s="46"/>
      <c r="I54" s="701"/>
      <c r="J54" s="46"/>
      <c r="K54" s="924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30</v>
      </c>
      <c r="C55" s="901" cm="1">
        <f t="array" ref="C55">SUM(b2_list_vCPU*b2_list_Antal_instanser)</f>
        <v>0</v>
      </c>
      <c r="D55" s="901" cm="1">
        <f t="array" ref="D55">SUM(b2_list_ram*b2_list_vCPU)</f>
        <v>0</v>
      </c>
      <c r="E55" s="907" t="s">
        <v>94</v>
      </c>
      <c r="F55" s="901"/>
      <c r="G55" s="901"/>
      <c r="H55" s="901"/>
      <c r="I55" s="901">
        <f>SUM(I45:I54)</f>
        <v>0</v>
      </c>
      <c r="J55" s="901"/>
      <c r="K55" s="928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538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538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6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4" t="s">
        <v>561</v>
      </c>
      <c r="J78" s="24"/>
      <c r="K78" s="614" t="s">
        <v>83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3">
        <f>G79/720</f>
        <v>1.5333333333333334E-4</v>
      </c>
      <c r="G79" s="934">
        <f>VOLUME_large_EUR</f>
        <v>0.1104</v>
      </c>
      <c r="H79" s="749"/>
      <c r="I79" s="750"/>
      <c r="J79" s="399"/>
      <c r="K79" s="929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5">
        <f>G80/720</f>
        <v>4.6000000000000001E-4</v>
      </c>
      <c r="G80" s="936">
        <f>VOLUME_fast_EUR</f>
        <v>0.33119999999999999</v>
      </c>
      <c r="H80" s="752"/>
      <c r="I80" s="754"/>
      <c r="J80" s="755"/>
      <c r="K80" s="930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3">
        <f>G81/720</f>
        <v>1.5333333333333334E-4</v>
      </c>
      <c r="G81" s="934">
        <f>VOLUME_large_EUR</f>
        <v>0.1104</v>
      </c>
      <c r="H81" s="756"/>
      <c r="I81" s="750"/>
      <c r="J81" s="399"/>
      <c r="K81" s="929">
        <f>ROUNDUP(I81*G81,2)</f>
        <v>0</v>
      </c>
      <c r="L81" s="8"/>
      <c r="M81" s="702"/>
    </row>
    <row r="82" spans="2:20" s="904" customFormat="1" ht="25" customHeight="1">
      <c r="B82" s="900" t="s">
        <v>30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27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8" t="s">
        <v>673</v>
      </c>
      <c r="C85" s="968"/>
      <c r="D85" s="968"/>
      <c r="E85" s="968"/>
      <c r="F85" s="968"/>
      <c r="G85" s="968"/>
      <c r="H85" s="679"/>
      <c r="J85" s="681"/>
      <c r="K85" s="863"/>
      <c r="M85" s="674"/>
    </row>
    <row r="86" spans="2:20" s="4" customFormat="1" ht="25" customHeight="1">
      <c r="B86" s="968"/>
      <c r="C86" s="968"/>
      <c r="D86" s="968"/>
      <c r="E86" s="968"/>
      <c r="F86" s="968"/>
      <c r="G86" s="968"/>
      <c r="H86" s="679"/>
      <c r="J86" s="681"/>
      <c r="K86" s="863"/>
      <c r="M86" s="674"/>
    </row>
    <row r="87" spans="2:20" s="4" customFormat="1" ht="25" customHeight="1">
      <c r="B87" s="968"/>
      <c r="C87" s="968"/>
      <c r="D87" s="968"/>
      <c r="E87" s="968"/>
      <c r="F87" s="968"/>
      <c r="G87" s="968"/>
      <c r="H87" s="679"/>
      <c r="J87" s="681"/>
      <c r="K87" s="863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4" t="s">
        <v>560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78"/>
      <c r="D93" s="524"/>
      <c r="E93" s="524"/>
      <c r="F93" s="766"/>
      <c r="G93" s="937">
        <f>S3_archive.50_EUR</f>
        <v>32.200000000000003</v>
      </c>
      <c r="H93" s="766"/>
      <c r="I93" s="767"/>
      <c r="J93" s="768"/>
      <c r="K93" s="929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/>
      <c r="D94" s="79"/>
      <c r="E94" s="79"/>
      <c r="F94" s="752"/>
      <c r="G94" s="932">
        <f>S3_storage50_EUR</f>
        <v>46</v>
      </c>
      <c r="H94" s="753"/>
      <c r="I94" s="771"/>
      <c r="J94" s="755"/>
      <c r="K94" s="930">
        <f>I94*G94</f>
        <v>0</v>
      </c>
      <c r="L94" s="8"/>
      <c r="M94" s="702"/>
      <c r="T94" s="689"/>
    </row>
    <row r="95" spans="2:20" s="904" customFormat="1" ht="25" customHeight="1">
      <c r="B95" s="900" t="s">
        <v>30</v>
      </c>
      <c r="C95" s="901"/>
      <c r="D95" s="901"/>
      <c r="E95" s="901"/>
      <c r="F95" s="901"/>
      <c r="G95" s="901"/>
      <c r="H95" s="901"/>
      <c r="I95" s="901"/>
      <c r="J95" s="901"/>
      <c r="K95" s="927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8" t="s">
        <v>674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26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26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9</v>
      </c>
      <c r="C115" s="789"/>
      <c r="D115" s="789"/>
      <c r="E115" s="131" t="s">
        <v>562</v>
      </c>
      <c r="F115" s="789"/>
      <c r="G115" s="131" t="s">
        <v>563</v>
      </c>
      <c r="H115" s="24"/>
      <c r="I115" s="744" t="s">
        <v>561</v>
      </c>
      <c r="J115" s="744" t="s">
        <v>564</v>
      </c>
      <c r="K115" s="614" t="s">
        <v>605</v>
      </c>
      <c r="L115" s="738"/>
      <c r="M115" s="960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8">
        <f>BAAS_on.demand_EUR</f>
        <v>0.22540000000000002</v>
      </c>
      <c r="H116" s="399"/>
      <c r="I116" s="767"/>
      <c r="J116" s="909" t="s">
        <v>94</v>
      </c>
      <c r="K116" s="929">
        <f>ROUNDUP(I116*G116,2)</f>
        <v>0</v>
      </c>
      <c r="L116" s="738"/>
      <c r="M116" s="856" t="s">
        <v>566</v>
      </c>
    </row>
    <row r="117" spans="2:32" ht="25" customHeight="1">
      <c r="B117" s="137" t="s">
        <v>496</v>
      </c>
      <c r="C117" s="79"/>
      <c r="D117" s="79"/>
      <c r="E117" s="947">
        <f>BAAS_small.fee_EUR</f>
        <v>506</v>
      </c>
      <c r="F117" s="755"/>
      <c r="G117" s="939">
        <f>BAAS_small_EUR</f>
        <v>0.161</v>
      </c>
      <c r="H117" s="755"/>
      <c r="I117" s="784"/>
      <c r="J117" s="785">
        <v>0.75</v>
      </c>
      <c r="K117" s="930">
        <f>IF(I117&gt;0,$E$117+($G$117*(I117*(1-$J$117))),0)</f>
        <v>0</v>
      </c>
      <c r="L117" s="738"/>
      <c r="M117" s="857" t="s">
        <v>567</v>
      </c>
    </row>
    <row r="118" spans="2:32" s="786" customFormat="1" ht="25" customHeight="1">
      <c r="B118" s="466" t="s">
        <v>497</v>
      </c>
      <c r="C118" s="82"/>
      <c r="D118" s="82"/>
      <c r="E118" s="948">
        <f>BAAS_large.fee_EUR</f>
        <v>874</v>
      </c>
      <c r="F118" s="775"/>
      <c r="G118" s="938">
        <f>BAAS_large_EUR</f>
        <v>8.4640000000000007E-2</v>
      </c>
      <c r="H118" s="775"/>
      <c r="I118" s="774"/>
      <c r="J118" s="787">
        <v>0.75</v>
      </c>
      <c r="K118" s="582">
        <f>IF(I118&gt;0,$E$118+($G$118*(I118*(1-$J$118))),0)</f>
        <v>0</v>
      </c>
      <c r="L118" s="738"/>
      <c r="M118" s="856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30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27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664</v>
      </c>
      <c r="C127" s="465"/>
      <c r="D127" s="465"/>
      <c r="E127" s="465"/>
      <c r="F127" s="465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9</v>
      </c>
      <c r="C130" s="969" t="s">
        <v>570</v>
      </c>
      <c r="D130" s="969"/>
      <c r="E130" s="969" t="s">
        <v>571</v>
      </c>
      <c r="F130" s="969"/>
      <c r="G130" s="991" t="s">
        <v>562</v>
      </c>
      <c r="H130" s="991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574</v>
      </c>
      <c r="F131" s="977"/>
      <c r="G131" s="945">
        <f>PAAS_man.kubernetes_EUR</f>
        <v>2208</v>
      </c>
      <c r="H131" s="943"/>
      <c r="I131" s="767"/>
      <c r="J131" s="963">
        <v>2</v>
      </c>
      <c r="K131" s="941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572</v>
      </c>
      <c r="D132" s="976"/>
      <c r="E132" s="978" t="s">
        <v>573</v>
      </c>
      <c r="F132" s="978"/>
      <c r="G132" s="946">
        <f>PAAS_man.kubernetes8_EUR</f>
        <v>1380</v>
      </c>
      <c r="H132" s="944"/>
      <c r="I132" s="771"/>
      <c r="J132" s="755"/>
      <c r="K132" s="942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30</v>
      </c>
      <c r="C133" s="901"/>
      <c r="D133" s="901"/>
      <c r="E133" s="901"/>
      <c r="F133" s="901"/>
      <c r="G133" s="901"/>
      <c r="H133" s="901"/>
      <c r="I133" s="962"/>
      <c r="J133" s="901"/>
      <c r="K133" s="927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100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576</v>
      </c>
      <c r="M143" s="695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92" t="s">
        <v>578</v>
      </c>
      <c r="K145" s="949">
        <f>NET_publicv4_EUR</f>
        <v>2.2999999999999998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93"/>
      <c r="G146" s="793"/>
      <c r="H146" s="793"/>
      <c r="I146" s="793"/>
      <c r="J146" s="794" t="s">
        <v>94</v>
      </c>
      <c r="K146" s="950">
        <f>NET_publicv6_EUR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92" t="s">
        <v>69</v>
      </c>
      <c r="K147" s="949">
        <f>NET_ingress_EUR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93"/>
      <c r="G148" s="793"/>
      <c r="H148" s="793"/>
      <c r="I148" s="793"/>
      <c r="J148" s="795" t="s">
        <v>69</v>
      </c>
      <c r="K148" s="950">
        <f>NET_egress_EUR</f>
        <v>2.3E-2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92" t="s">
        <v>116</v>
      </c>
      <c r="K149" s="931" t="str">
        <f>NET_mgn.slb_EUR</f>
        <v>Request a quote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950">
        <f>NET_rdns_EUR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949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582</v>
      </c>
      <c r="M156" s="695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929">
        <f>SW_win.ser.201X_EUR</f>
        <v>7.1760000000000002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930">
        <f>SW_win.ser.201X_EUR</f>
        <v>7.1760000000000002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669</v>
      </c>
      <c r="C160" s="129"/>
      <c r="D160" s="30"/>
      <c r="E160" s="30" t="s">
        <v>670</v>
      </c>
      <c r="F160" s="30"/>
      <c r="G160" s="30"/>
      <c r="H160" s="30"/>
      <c r="I160" s="30"/>
      <c r="J160" s="792" t="s">
        <v>10</v>
      </c>
      <c r="K160" s="929">
        <f>SW_win.ser.201X_EUR</f>
        <v>7.1760000000000002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930">
        <f>SW_ms.sql.ser_EUR</f>
        <v>137.816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966" t="str">
        <f>SW_nextcloud_EUR</f>
        <v>Request a quote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967" t="str">
        <f>SW_suse_EUR</f>
        <v>Request a quote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966" t="str">
        <f>SW_cluster.control_EUR</f>
        <v>3x instance price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140</v>
      </c>
      <c r="K165" s="930">
        <f>SW_backup.ninja_EUR</f>
        <v>36.799999999999997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583</v>
      </c>
      <c r="M170" s="695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51">
        <f>PAAS_man.kubernetes_EUR</f>
        <v>2208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930">
        <f>PAAS_man.postgres.sql_EUR</f>
        <v>1380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29" t="str">
        <f>PAAS_man.elasticsearch_EUR</f>
        <v>Requests for quotation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93"/>
      <c r="G175" s="793"/>
      <c r="H175" s="793"/>
      <c r="I175" s="793"/>
      <c r="J175" s="801"/>
      <c r="K175" s="930">
        <f>PAAS_openshift_EUR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29" t="str">
        <f>PAAS_man.nats_EUR</f>
        <v>Requests for quotation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930" t="str">
        <f>PAAS_man.mariadb_EUR</f>
        <v>Requests for quotation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29" t="str">
        <f>PAAS_man.redis_EUR</f>
        <v>Requests for quotation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8" t="s">
        <v>585</v>
      </c>
      <c r="C182" s="968"/>
      <c r="D182" s="968"/>
      <c r="E182" s="968"/>
      <c r="F182" s="968"/>
      <c r="G182" s="968"/>
      <c r="H182" s="802"/>
      <c r="J182" s="681"/>
      <c r="K182" s="863"/>
      <c r="M182" s="702"/>
    </row>
    <row r="183" spans="2:20" s="4" customFormat="1" ht="25" customHeight="1">
      <c r="B183" s="968"/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89" t="s">
        <v>586</v>
      </c>
      <c r="C185" s="989"/>
      <c r="D185" s="989"/>
      <c r="E185" s="989"/>
      <c r="F185" s="989"/>
      <c r="H185" s="802"/>
      <c r="J185" s="681"/>
      <c r="K185" s="863"/>
      <c r="M185" s="702"/>
    </row>
    <row r="186" spans="2:20" s="4" customFormat="1" ht="25" customHeight="1">
      <c r="B186" s="984" t="s">
        <v>587</v>
      </c>
      <c r="C186" s="984"/>
      <c r="D186" s="984"/>
      <c r="E186" s="984"/>
      <c r="F186" s="984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588</v>
      </c>
      <c r="M189" s="695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577</v>
      </c>
      <c r="J190" s="23"/>
      <c r="K190" s="614" t="s">
        <v>14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589</v>
      </c>
      <c r="E191" s="40"/>
      <c r="F191" s="30"/>
      <c r="G191" s="40"/>
      <c r="H191" s="40"/>
      <c r="I191" s="797" t="s">
        <v>606</v>
      </c>
      <c r="J191" s="797"/>
      <c r="K191" s="929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157</v>
      </c>
      <c r="J192" s="795"/>
      <c r="K192" s="556" t="s">
        <v>590</v>
      </c>
      <c r="L192" s="757"/>
      <c r="M192" s="897" t="s">
        <v>591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161</v>
      </c>
      <c r="J193" s="792"/>
      <c r="K193" s="557" t="s">
        <v>592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593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594</v>
      </c>
      <c r="M197" s="695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577</v>
      </c>
      <c r="J198" s="23"/>
      <c r="K198" s="614" t="s">
        <v>14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161</v>
      </c>
      <c r="J199" s="792"/>
      <c r="K199" s="929">
        <f>PS_consult.jun_EUR</f>
        <v>103.684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161</v>
      </c>
      <c r="J200" s="795"/>
      <c r="K200" s="930">
        <f>PS_consult.sen_EUR</f>
        <v>126.408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161</v>
      </c>
      <c r="J201" s="792"/>
      <c r="K201" s="929">
        <f>PS_cloudarch.jun_EUR</f>
        <v>117.48399999999999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161</v>
      </c>
      <c r="J202" s="795"/>
      <c r="K202" s="930">
        <f>PS_cloudarch.sen_EUR</f>
        <v>126.408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161</v>
      </c>
      <c r="J203" s="792"/>
      <c r="K203" s="929">
        <f>PS_pm.jun_EUR</f>
        <v>104.788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161</v>
      </c>
      <c r="J204" s="795"/>
      <c r="K204" s="930">
        <f>PS_pm.sen_EUR</f>
        <v>126.408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595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596</v>
      </c>
      <c r="M208" s="695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577</v>
      </c>
      <c r="J209" s="23"/>
      <c r="K209" s="614" t="s">
        <v>179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182</v>
      </c>
      <c r="E210" s="40"/>
      <c r="F210" s="30"/>
      <c r="G210" s="40" t="s">
        <v>181</v>
      </c>
      <c r="H210" s="792"/>
      <c r="I210" s="952" t="s">
        <v>183</v>
      </c>
      <c r="J210" s="792"/>
      <c r="K210" s="557" t="s">
        <v>592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597</v>
      </c>
      <c r="E211" s="31"/>
      <c r="F211" s="793"/>
      <c r="G211" s="801" t="s">
        <v>181</v>
      </c>
      <c r="H211" s="795"/>
      <c r="I211" s="953" t="s">
        <v>183</v>
      </c>
      <c r="J211" s="795"/>
      <c r="K211" s="556" t="s">
        <v>592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598</v>
      </c>
      <c r="E212" s="40"/>
      <c r="F212" s="30"/>
      <c r="G212" s="40" t="s">
        <v>187</v>
      </c>
      <c r="H212" s="792"/>
      <c r="I212" s="952" t="s">
        <v>183</v>
      </c>
      <c r="J212" s="792"/>
      <c r="K212" s="557" t="s">
        <v>592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599</v>
      </c>
      <c r="E213" s="31"/>
      <c r="F213" s="793"/>
      <c r="G213" s="801" t="s">
        <v>187</v>
      </c>
      <c r="H213" s="795"/>
      <c r="I213" s="953" t="s">
        <v>183</v>
      </c>
      <c r="J213" s="795"/>
      <c r="K213" s="556" t="s">
        <v>592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7" t="s">
        <v>191</v>
      </c>
      <c r="C220" s="987"/>
      <c r="D220" s="987"/>
      <c r="E220" s="987"/>
      <c r="F220" s="987"/>
      <c r="G220" s="987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7"/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8" t="s">
        <v>587</v>
      </c>
      <c r="C223" s="988"/>
      <c r="D223" s="988"/>
      <c r="E223" s="988"/>
      <c r="F223" s="988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601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602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603</v>
      </c>
      <c r="C229" s="56"/>
      <c r="D229" s="57"/>
      <c r="E229" s="56"/>
      <c r="F229" s="665"/>
      <c r="G229" s="665"/>
      <c r="H229" s="665"/>
      <c r="I229" s="56"/>
      <c r="J229" s="665" t="s">
        <v>600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954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3"/>
      <c r="E231" s="663"/>
      <c r="F231" s="824"/>
      <c r="G231" s="825"/>
      <c r="H231" s="825"/>
      <c r="I231" s="826"/>
      <c r="J231" s="955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955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IF(J131=1,"Fully managed service - support weekdays 08: 00-17: 00",IF(J131=3,"Fully managed service - support around the clock, every day",""))</f>
        <v/>
      </c>
      <c r="D233" s="33"/>
      <c r="E233" s="34"/>
      <c r="F233" s="35"/>
      <c r="G233" s="828"/>
      <c r="H233" s="828"/>
      <c r="I233" s="775"/>
      <c r="J233" s="940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30</v>
      </c>
      <c r="C234" s="659"/>
      <c r="D234" s="660"/>
      <c r="E234" s="660"/>
      <c r="F234" s="832"/>
      <c r="G234" s="833"/>
      <c r="H234" s="833"/>
      <c r="I234" s="834"/>
      <c r="J234" s="956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+U0lrAg5o5MebeFwbRVHzzwHi9bJ83gCHJUH5I6MW2tyXEPHpp1uhaGhHTmF26QiAcM+6VU5NxArfSN9BdJ3JQ==" saltValue="kroM3cmV1B17YIHwCLPDqQ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3" t="str">
        <f>"1 SEK = "&amp;EUR&amp;" EUR"</f>
        <v>1 SEK = 0,092 EUR</v>
      </c>
      <c r="E11" s="1023"/>
      <c r="F11" s="1023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5"/>
      <c r="C16" s="995"/>
      <c r="D16" s="995"/>
      <c r="E16" s="995"/>
      <c r="F16" s="995"/>
      <c r="G16" s="995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5"/>
      <c r="C17" s="995"/>
      <c r="D17" s="995"/>
      <c r="E17" s="995"/>
      <c r="F17" s="995"/>
      <c r="G17" s="995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2" t="s">
        <v>6</v>
      </c>
      <c r="C19" s="1022"/>
      <c r="D19" s="1022"/>
      <c r="E19" s="1022"/>
      <c r="F19" s="1022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4" t="s">
        <v>65</v>
      </c>
      <c r="G88" s="1014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27">
        <f>VOLUME_large_EUR</f>
        <v>0.1104</v>
      </c>
      <c r="G89" s="1027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43">
        <f>VOLUME_fast_EUR</f>
        <v>0.33119999999999999</v>
      </c>
      <c r="G90" s="1043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5" t="s">
        <v>72</v>
      </c>
      <c r="C95" s="995"/>
      <c r="D95" s="995"/>
      <c r="E95" s="995"/>
      <c r="F95" s="995"/>
      <c r="G95" s="995"/>
      <c r="H95" s="177"/>
      <c r="J95" s="178"/>
      <c r="K95" s="178"/>
      <c r="M95" s="567"/>
      <c r="O95" s="168"/>
    </row>
    <row r="96" spans="2:23" s="169" customFormat="1" ht="25" customHeight="1">
      <c r="B96" s="995"/>
      <c r="C96" s="995"/>
      <c r="D96" s="995"/>
      <c r="E96" s="995"/>
      <c r="F96" s="995"/>
      <c r="G96" s="995"/>
      <c r="H96" s="177"/>
      <c r="J96" s="178"/>
      <c r="K96" s="178"/>
      <c r="M96" s="567"/>
      <c r="O96" s="168"/>
    </row>
    <row r="97" spans="2:22" s="169" customFormat="1" ht="25" customHeight="1">
      <c r="B97" s="995"/>
      <c r="C97" s="995"/>
      <c r="D97" s="995"/>
      <c r="E97" s="995"/>
      <c r="F97" s="995"/>
      <c r="G97" s="995"/>
      <c r="H97" s="177"/>
      <c r="J97" s="178"/>
      <c r="K97" s="178"/>
      <c r="M97" s="567"/>
      <c r="O97" s="168"/>
    </row>
    <row r="98" spans="2:22" s="169" customFormat="1" ht="25" customHeight="1">
      <c r="B98" s="1044" t="s">
        <v>73</v>
      </c>
      <c r="C98" s="1044"/>
      <c r="D98" s="1044"/>
      <c r="E98" s="1044"/>
      <c r="F98" s="1044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2" t="s">
        <v>74</v>
      </c>
      <c r="C99" s="1022"/>
      <c r="D99" s="1022"/>
      <c r="E99" s="1022"/>
      <c r="F99" s="1022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4" t="s">
        <v>76</v>
      </c>
      <c r="E102" s="1014"/>
      <c r="F102" s="1014"/>
      <c r="G102" s="1014"/>
      <c r="H102" s="266" t="s">
        <v>75</v>
      </c>
      <c r="I102" s="265"/>
      <c r="J102" s="1014"/>
      <c r="K102" s="1014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5">
        <f>S3_storage.50_EUR</f>
        <v>32.200000000000003</v>
      </c>
      <c r="E104" s="1025"/>
      <c r="F104" s="1026"/>
      <c r="G104" s="1026"/>
      <c r="H104" s="1026"/>
      <c r="I104" s="1026"/>
      <c r="J104" s="1026"/>
      <c r="K104" s="1026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3">
        <f>S3_storage.100_EUR</f>
        <v>24.84</v>
      </c>
      <c r="E105" s="1013"/>
      <c r="F105" s="1018"/>
      <c r="G105" s="1018"/>
      <c r="H105" s="1018"/>
      <c r="I105" s="1018"/>
      <c r="J105" s="1018"/>
      <c r="K105" s="1018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7">
        <f>S3_storage.500_EUR</f>
        <v>18.399999999999999</v>
      </c>
      <c r="E106" s="1017"/>
      <c r="F106" s="1012"/>
      <c r="G106" s="1012"/>
      <c r="H106" s="1012"/>
      <c r="I106" s="1012"/>
      <c r="J106" s="1012"/>
      <c r="K106" s="1012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3">
        <f>S3_storage.1000_EUR</f>
        <v>17.02</v>
      </c>
      <c r="E107" s="1013"/>
      <c r="F107" s="1018"/>
      <c r="G107" s="1018"/>
      <c r="H107" s="1018"/>
      <c r="I107" s="1018"/>
      <c r="J107" s="1018"/>
      <c r="K107" s="1018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9" t="str">
        <f>S3_storage.quote_EUR</f>
        <v>Request a quote</v>
      </c>
      <c r="E108" s="1019"/>
      <c r="F108" s="1020"/>
      <c r="G108" s="1020"/>
      <c r="H108" s="1020"/>
      <c r="I108" s="1020"/>
      <c r="J108" s="1020"/>
      <c r="K108" s="1020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4" t="s">
        <v>76</v>
      </c>
      <c r="E111" s="1024"/>
      <c r="F111" s="1014"/>
      <c r="G111" s="1014"/>
      <c r="H111" s="266" t="s">
        <v>75</v>
      </c>
      <c r="I111" s="266"/>
      <c r="J111" s="1014"/>
      <c r="K111" s="1014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5">
        <f>S3_archive.50_EUR</f>
        <v>32.200000000000003</v>
      </c>
      <c r="E113" s="1025"/>
      <c r="F113" s="1026"/>
      <c r="G113" s="1026"/>
      <c r="H113" s="1026"/>
      <c r="I113" s="1026"/>
      <c r="J113" s="1026"/>
      <c r="K113" s="1026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3">
        <f>S3_archive.100_EUR</f>
        <v>24.84</v>
      </c>
      <c r="E114" s="1013"/>
      <c r="F114" s="1018"/>
      <c r="G114" s="1018"/>
      <c r="H114" s="1018"/>
      <c r="I114" s="1018"/>
      <c r="J114" s="1018"/>
      <c r="K114" s="1018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7">
        <f>S3_archive.500_EUR</f>
        <v>18.399999999999999</v>
      </c>
      <c r="E115" s="1017"/>
      <c r="F115" s="1012"/>
      <c r="G115" s="1012"/>
      <c r="H115" s="1012"/>
      <c r="I115" s="1012"/>
      <c r="J115" s="1012"/>
      <c r="K115" s="1012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3">
        <f>S3_archive.1000_EUR</f>
        <v>17.02</v>
      </c>
      <c r="E116" s="1013"/>
      <c r="F116" s="1018"/>
      <c r="G116" s="1018"/>
      <c r="H116" s="1018"/>
      <c r="I116" s="1018"/>
      <c r="J116" s="1018"/>
      <c r="K116" s="1018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9" t="str">
        <f>S3_archive.quote_EUR</f>
        <v>Request a quote</v>
      </c>
      <c r="E117" s="1019"/>
      <c r="F117" s="1020"/>
      <c r="G117" s="1020"/>
      <c r="H117" s="1020"/>
      <c r="I117" s="1020"/>
      <c r="J117" s="1020"/>
      <c r="K117" s="1020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5" t="s">
        <v>86</v>
      </c>
      <c r="C122" s="995"/>
      <c r="D122" s="995"/>
      <c r="E122" s="995"/>
      <c r="F122" s="995"/>
      <c r="G122" s="995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5"/>
      <c r="C123" s="995"/>
      <c r="D123" s="995"/>
      <c r="E123" s="995"/>
      <c r="F123" s="995"/>
      <c r="G123" s="995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5"/>
      <c r="C124" s="995"/>
      <c r="D124" s="995"/>
      <c r="E124" s="995"/>
      <c r="F124" s="995"/>
      <c r="G124" s="995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6" t="s">
        <v>87</v>
      </c>
      <c r="C125" s="1016"/>
      <c r="D125" s="1016"/>
      <c r="E125" s="1016"/>
      <c r="F125" s="1016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6" t="s">
        <v>6</v>
      </c>
      <c r="C126" s="996"/>
      <c r="D126" s="996"/>
      <c r="E126" s="996"/>
      <c r="F126" s="996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4" t="s">
        <v>89</v>
      </c>
      <c r="G129" s="1014"/>
      <c r="H129" s="266" t="s">
        <v>90</v>
      </c>
      <c r="I129" s="265"/>
      <c r="J129" s="1028" t="s">
        <v>91</v>
      </c>
      <c r="K129" s="1028"/>
      <c r="L129" s="535"/>
      <c r="M129" s="577" t="s">
        <v>92</v>
      </c>
      <c r="N129" s="252"/>
      <c r="O129" s="160"/>
    </row>
    <row r="130" spans="2:34" ht="25" customHeight="1">
      <c r="B130" s="1029" t="s">
        <v>93</v>
      </c>
      <c r="C130" s="1029"/>
      <c r="D130" s="467" t="s">
        <v>94</v>
      </c>
      <c r="E130" s="29"/>
      <c r="F130" s="1030">
        <f>BAAS_on.demand_EUR</f>
        <v>0.22540000000000002</v>
      </c>
      <c r="G130" s="1031"/>
      <c r="H130" s="307">
        <v>0</v>
      </c>
      <c r="I130" s="272" t="s">
        <v>69</v>
      </c>
      <c r="J130" s="1032" t="s">
        <v>94</v>
      </c>
      <c r="K130" s="1032"/>
      <c r="L130" s="308"/>
      <c r="M130" s="578">
        <f>ROUNDUP(H130*F130,2)</f>
        <v>0</v>
      </c>
      <c r="N130" s="252"/>
      <c r="O130" s="160"/>
    </row>
    <row r="131" spans="2:34" ht="25" customHeight="1">
      <c r="B131" s="1033" t="s">
        <v>95</v>
      </c>
      <c r="C131" s="1033"/>
      <c r="D131" s="468">
        <f>BAAS_small.fee_EUR</f>
        <v>506</v>
      </c>
      <c r="E131" s="32"/>
      <c r="F131" s="1034">
        <f>BAAS_small_EUR</f>
        <v>0.161</v>
      </c>
      <c r="G131" s="1035"/>
      <c r="H131" s="309">
        <v>0</v>
      </c>
      <c r="I131" s="276" t="s">
        <v>69</v>
      </c>
      <c r="J131" s="1036">
        <v>0.75</v>
      </c>
      <c r="K131" s="1037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8" t="s">
        <v>96</v>
      </c>
      <c r="C132" s="1038"/>
      <c r="D132" s="469">
        <f>BAAS_large.fee_EUR</f>
        <v>874</v>
      </c>
      <c r="E132" s="35"/>
      <c r="F132" s="1039">
        <f>BAAS_large_EUR</f>
        <v>8.4640000000000007E-2</v>
      </c>
      <c r="G132" s="1040"/>
      <c r="H132" s="298">
        <v>0</v>
      </c>
      <c r="I132" s="299" t="s">
        <v>69</v>
      </c>
      <c r="J132" s="1041">
        <v>0.75</v>
      </c>
      <c r="K132" s="1042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5" t="s">
        <v>97</v>
      </c>
      <c r="C135" s="1015"/>
      <c r="D135" s="1015"/>
      <c r="E135" s="1015"/>
      <c r="F135" s="1015"/>
      <c r="G135" s="1015"/>
      <c r="H135" s="1015"/>
      <c r="I135" s="1015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5" t="s">
        <v>98</v>
      </c>
      <c r="C136" s="1015"/>
      <c r="D136" s="1015"/>
      <c r="E136" s="1015"/>
      <c r="F136" s="1015"/>
      <c r="G136" s="1015"/>
      <c r="H136" s="1015"/>
      <c r="I136" s="1015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5" t="s">
        <v>99</v>
      </c>
      <c r="C137" s="1015"/>
      <c r="D137" s="1015"/>
      <c r="E137" s="1015"/>
      <c r="F137" s="1015"/>
      <c r="G137" s="1015"/>
      <c r="H137" s="1015"/>
      <c r="I137" s="1015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5" t="s">
        <v>418</v>
      </c>
      <c r="C138" s="1015"/>
      <c r="D138" s="1015"/>
      <c r="E138" s="1015"/>
      <c r="F138" s="1015"/>
      <c r="G138" s="1015"/>
      <c r="H138" s="1015"/>
      <c r="I138" s="1015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5" t="s">
        <v>100</v>
      </c>
      <c r="C143" s="995"/>
      <c r="D143" s="995"/>
      <c r="E143" s="995"/>
      <c r="F143" s="995"/>
      <c r="G143" s="995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5"/>
      <c r="C144" s="995"/>
      <c r="D144" s="995"/>
      <c r="E144" s="995"/>
      <c r="F144" s="995"/>
      <c r="G144" s="995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5"/>
      <c r="C145" s="995"/>
      <c r="D145" s="995"/>
      <c r="E145" s="995"/>
      <c r="F145" s="995"/>
      <c r="G145" s="995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6" t="s">
        <v>6</v>
      </c>
      <c r="C146" s="996"/>
      <c r="D146" s="996"/>
      <c r="E146" s="996"/>
      <c r="F146" s="996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7"/>
      <c r="C147" s="997"/>
      <c r="D147" s="997"/>
      <c r="E147" s="997"/>
      <c r="F147" s="997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3" t="s">
        <v>14</v>
      </c>
      <c r="M150" s="99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4">
        <f>NET_publicv4_EUR</f>
        <v>2.2999999999999998</v>
      </c>
      <c r="M151" s="99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6">
        <f>NET_publicv6_EUR</f>
        <v>0</v>
      </c>
      <c r="M152" s="104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7">
        <f>NET_ingress_EUR</f>
        <v>0</v>
      </c>
      <c r="M153" s="104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6">
        <f>NET_egress_EUR</f>
        <v>2.3E-2</v>
      </c>
      <c r="M154" s="104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8" t="str">
        <f>NET_mgn.slb_EUR</f>
        <v>Request a quote</v>
      </c>
      <c r="M155" s="100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6">
        <f>NET_rdns_EUR</f>
        <v>0</v>
      </c>
      <c r="M156" s="104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8">
        <f>NET_byoip_EUR</f>
        <v>0</v>
      </c>
      <c r="M157" s="100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5"/>
      <c r="M158" s="104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2"/>
      <c r="M159" s="99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3" t="s">
        <v>14</v>
      </c>
      <c r="M160" s="99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4">
        <f>SW_win.ser.201X_EUR</f>
        <v>7.1760000000000002</v>
      </c>
      <c r="M161" s="99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1">
        <f>SW_win.ser.201X_EUR</f>
        <v>7.1760000000000002</v>
      </c>
      <c r="M162" s="105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8">
        <f>SW_ms.sql.ser_EUR</f>
        <v>137.816</v>
      </c>
      <c r="M163" s="100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2" t="str">
        <f>SW_stackn_EUR</f>
        <v>Request a quote</v>
      </c>
      <c r="M164" s="105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3" t="str">
        <f>SW_nextcloud_EUR</f>
        <v>Request a quote</v>
      </c>
      <c r="M165" s="105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2" t="str">
        <f>SW_suse_EUR</f>
        <v>Request a quote</v>
      </c>
      <c r="M166" s="105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3" t="str">
        <f>SW_cluster.control_EUR</f>
        <v>3x instance price</v>
      </c>
      <c r="M167" s="105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9">
        <f>SW_backup.ninja_EUR</f>
        <v>36.799999999999997</v>
      </c>
      <c r="M168" s="100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10"/>
      <c r="M169" s="1010"/>
      <c r="O169" s="205"/>
      <c r="P169" s="190"/>
      <c r="R169" s="284"/>
      <c r="S169" s="189"/>
    </row>
    <row r="170" spans="2:22" ht="25" customHeight="1">
      <c r="B170" s="471"/>
      <c r="K170" s="334"/>
      <c r="L170" s="1048"/>
      <c r="M170" s="104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2"/>
      <c r="M171" s="99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3" t="s">
        <v>14</v>
      </c>
      <c r="M172" s="993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8">
        <f>PAAS_man.kubernetes24_EUR</f>
        <v>2208</v>
      </c>
      <c r="M173" s="1058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9">
        <f>PAAS_man.kubernetes8_EUR</f>
        <v>1380</v>
      </c>
      <c r="M174" s="105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9" t="str">
        <f>PAAS_man.elasticsearch_EUR</f>
        <v>Requests for quotation</v>
      </c>
      <c r="M175" s="104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9" t="str">
        <f>PAAS_man.redis_EUR</f>
        <v>Requests for quotation</v>
      </c>
      <c r="M176" s="105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9" t="str">
        <f>PAAS_man.nats_EUR</f>
        <v>Requests for quotation</v>
      </c>
      <c r="M177" s="104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50" t="str">
        <f>PAAS_man.mariadb_EUR</f>
        <v>Requests for quotation</v>
      </c>
      <c r="M178" s="105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10"/>
      <c r="M179" s="101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6"/>
      <c r="M180" s="105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7"/>
      <c r="M181" s="1057"/>
      <c r="N181" s="189"/>
      <c r="O181" s="205"/>
      <c r="P181" s="180"/>
      <c r="Q181" s="180"/>
    </row>
    <row r="182" spans="2:19" s="169" customFormat="1" ht="25" customHeight="1">
      <c r="B182" s="995" t="s">
        <v>151</v>
      </c>
      <c r="C182" s="995"/>
      <c r="D182" s="995"/>
      <c r="E182" s="995"/>
      <c r="F182" s="995"/>
      <c r="G182" s="995"/>
      <c r="H182" s="335"/>
      <c r="J182" s="178"/>
      <c r="L182" s="1001"/>
      <c r="M182" s="1001"/>
      <c r="N182" s="189"/>
      <c r="O182" s="205"/>
    </row>
    <row r="183" spans="2:19" s="169" customFormat="1" ht="25" customHeight="1">
      <c r="B183" s="995"/>
      <c r="C183" s="995"/>
      <c r="D183" s="995"/>
      <c r="E183" s="995"/>
      <c r="F183" s="995"/>
      <c r="G183" s="995"/>
      <c r="H183" s="335"/>
      <c r="J183" s="178"/>
      <c r="L183" s="1001"/>
      <c r="M183" s="1001"/>
      <c r="N183" s="189"/>
      <c r="O183" s="205"/>
    </row>
    <row r="184" spans="2:19" s="169" customFormat="1" ht="25" customHeight="1">
      <c r="B184" s="995"/>
      <c r="C184" s="995"/>
      <c r="D184" s="995"/>
      <c r="E184" s="995"/>
      <c r="F184" s="995"/>
      <c r="G184" s="995"/>
      <c r="H184" s="335"/>
      <c r="J184" s="178"/>
      <c r="L184" s="1001"/>
      <c r="M184" s="1001"/>
      <c r="N184" s="189"/>
      <c r="O184" s="205"/>
    </row>
    <row r="185" spans="2:19" s="169" customFormat="1" ht="25" customHeight="1">
      <c r="B185" s="996" t="s">
        <v>6</v>
      </c>
      <c r="C185" s="996"/>
      <c r="D185" s="996"/>
      <c r="E185" s="996"/>
      <c r="F185" s="996"/>
      <c r="H185" s="335"/>
      <c r="J185" s="178"/>
      <c r="L185" s="1001"/>
      <c r="M185" s="1001"/>
      <c r="N185" s="189"/>
      <c r="O185" s="205"/>
    </row>
    <row r="186" spans="2:19" s="169" customFormat="1" ht="25" customHeight="1">
      <c r="B186" s="997"/>
      <c r="C186" s="997"/>
      <c r="D186" s="997"/>
      <c r="E186" s="997"/>
      <c r="F186" s="997"/>
      <c r="G186" s="182"/>
      <c r="H186" s="183"/>
      <c r="I186" s="182"/>
      <c r="J186" s="184"/>
      <c r="K186" s="182"/>
      <c r="L186" s="1002"/>
      <c r="M186" s="100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2"/>
      <c r="M187" s="100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3"/>
      <c r="M188" s="100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3" t="s">
        <v>14</v>
      </c>
      <c r="M189" s="99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4">
        <v>0</v>
      </c>
      <c r="M190" s="100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4" t="s">
        <v>158</v>
      </c>
      <c r="M191" s="105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5" t="s">
        <v>162</v>
      </c>
      <c r="M192" s="105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10"/>
      <c r="M193" s="101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1"/>
      <c r="M194" s="101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2"/>
      <c r="M195" s="99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3" t="s">
        <v>14</v>
      </c>
      <c r="M196" s="99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4">
        <f>PS_consult.jun_EUR</f>
        <v>103.684</v>
      </c>
      <c r="M197" s="99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1">
        <f>PS_consult.sen_EUR</f>
        <v>126.408</v>
      </c>
      <c r="M198" s="105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8">
        <f>PS_cloudarch.jun_EUR</f>
        <v>117.48399999999999</v>
      </c>
      <c r="M199" s="100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1">
        <f>PS_cloudarch.sen_EUR</f>
        <v>126.408</v>
      </c>
      <c r="M200" s="105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8">
        <f>PS_pm.jun_EUR</f>
        <v>104.788</v>
      </c>
      <c r="M201" s="100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9">
        <f>PS_pm.sen_EUR</f>
        <v>126.408</v>
      </c>
      <c r="M202" s="100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10"/>
      <c r="M203" s="101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1"/>
      <c r="M204" s="101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2"/>
      <c r="M205" s="99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3" t="s">
        <v>179</v>
      </c>
      <c r="M206" s="99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4" t="s">
        <v>162</v>
      </c>
      <c r="M207" s="100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5" t="s">
        <v>162</v>
      </c>
      <c r="M208" s="100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6" t="s">
        <v>162</v>
      </c>
      <c r="M209" s="100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7" t="s">
        <v>162</v>
      </c>
      <c r="M210" s="100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8" t="s">
        <v>191</v>
      </c>
      <c r="C217" s="998"/>
      <c r="D217" s="998"/>
      <c r="E217" s="998"/>
      <c r="F217" s="998"/>
      <c r="G217" s="998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8"/>
      <c r="C218" s="998"/>
      <c r="D218" s="998"/>
      <c r="E218" s="998"/>
      <c r="F218" s="998"/>
      <c r="G218" s="998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8"/>
      <c r="C219" s="998"/>
      <c r="D219" s="998"/>
      <c r="E219" s="998"/>
      <c r="F219" s="998"/>
      <c r="G219" s="998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9" t="s">
        <v>6</v>
      </c>
      <c r="C220" s="999"/>
      <c r="D220" s="999"/>
      <c r="E220" s="999"/>
      <c r="F220" s="999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1000" t="str">
        <f>SUM(E67)&amp;" GB NVME-Disk"</f>
        <v>0 GB NVME-Disk</v>
      </c>
      <c r="G227" s="1000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668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672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4" t="s">
        <v>608</v>
      </c>
      <c r="C19" s="984"/>
      <c r="D19" s="984"/>
      <c r="E19" s="984"/>
      <c r="F19" s="984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5" t="s">
        <v>648</v>
      </c>
      <c r="C24" s="985"/>
      <c r="D24" s="985"/>
      <c r="E24" s="985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8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2"/>
      <c r="M42" s="716"/>
    </row>
    <row r="43" spans="2:18" ht="25" customHeight="1">
      <c r="B43" s="985" t="s">
        <v>654</v>
      </c>
      <c r="C43" s="985"/>
      <c r="D43" s="985"/>
      <c r="E43" s="985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7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655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655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6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4" t="s">
        <v>612</v>
      </c>
      <c r="J78" s="24"/>
      <c r="K78" s="614" t="s">
        <v>614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6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6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6" s="4" customFormat="1" ht="25" customHeight="1">
      <c r="B85" s="968" t="s">
        <v>673</v>
      </c>
      <c r="C85" s="968"/>
      <c r="D85" s="968"/>
      <c r="E85" s="968"/>
      <c r="F85" s="968"/>
      <c r="G85" s="968"/>
      <c r="H85" s="679"/>
      <c r="J85" s="681"/>
      <c r="K85" s="863"/>
      <c r="M85" s="674"/>
    </row>
    <row r="86" spans="2:26" s="4" customFormat="1" ht="25" customHeight="1">
      <c r="B86" s="968"/>
      <c r="C86" s="968"/>
      <c r="D86" s="968"/>
      <c r="E86" s="968"/>
      <c r="F86" s="968"/>
      <c r="G86" s="968"/>
      <c r="H86" s="679"/>
      <c r="J86" s="681"/>
      <c r="K86" s="863"/>
      <c r="M86" s="674"/>
    </row>
    <row r="87" spans="2:26" s="4" customFormat="1" ht="25" customHeight="1">
      <c r="B87" s="968"/>
      <c r="C87" s="968"/>
      <c r="D87" s="968"/>
      <c r="E87" s="968"/>
      <c r="F87" s="968"/>
      <c r="G87" s="968"/>
      <c r="H87" s="679"/>
      <c r="J87" s="681"/>
      <c r="K87" s="863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3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4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4" t="s">
        <v>617</v>
      </c>
      <c r="J92" s="131"/>
      <c r="K92" s="614" t="s">
        <v>83</v>
      </c>
      <c r="L92" s="687"/>
      <c r="M92" s="702"/>
      <c r="N92" s="682"/>
    </row>
    <row r="93" spans="2:26" s="770" customFormat="1" ht="25" customHeight="1">
      <c r="B93" s="445" t="s">
        <v>535</v>
      </c>
      <c r="C93" s="78"/>
      <c r="D93" s="52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6" s="682" customFormat="1" ht="25" customHeight="1">
      <c r="B94" s="137" t="s">
        <v>494</v>
      </c>
      <c r="C94" s="41"/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6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8" t="s">
        <v>674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26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26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984" t="s">
        <v>608</v>
      </c>
      <c r="C112" s="984"/>
      <c r="D112" s="984"/>
      <c r="E112" s="984"/>
      <c r="F112" s="984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4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286</v>
      </c>
      <c r="F115" s="789"/>
      <c r="G115" s="24" t="s">
        <v>620</v>
      </c>
      <c r="H115" s="24"/>
      <c r="I115" s="744" t="s">
        <v>612</v>
      </c>
      <c r="J115" s="744" t="s">
        <v>621</v>
      </c>
      <c r="K115" s="614" t="s">
        <v>92</v>
      </c>
      <c r="L115" s="738"/>
      <c r="M115" s="960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624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984" t="s">
        <v>665</v>
      </c>
      <c r="C127" s="984"/>
      <c r="D127" s="984"/>
      <c r="E127" s="984"/>
      <c r="F127" s="984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4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9" t="s">
        <v>627</v>
      </c>
      <c r="D130" s="969"/>
      <c r="E130" s="969" t="s">
        <v>628</v>
      </c>
      <c r="F130" s="969"/>
      <c r="G130" s="969" t="s">
        <v>286</v>
      </c>
      <c r="H130" s="96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650</v>
      </c>
      <c r="F131" s="977"/>
      <c r="G131" s="971">
        <v>15000</v>
      </c>
      <c r="H131" s="972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629</v>
      </c>
      <c r="D132" s="976"/>
      <c r="E132" s="978" t="s">
        <v>630</v>
      </c>
      <c r="F132" s="978"/>
      <c r="G132" s="973">
        <v>24000</v>
      </c>
      <c r="H132" s="974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292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984" t="s">
        <v>608</v>
      </c>
      <c r="C140" s="984"/>
      <c r="D140" s="984"/>
      <c r="E140" s="984"/>
      <c r="F140" s="984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1060"/>
      <c r="C141" s="1060"/>
      <c r="D141" s="1060"/>
      <c r="E141" s="1060"/>
      <c r="F141" s="106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107</v>
      </c>
      <c r="K146" s="858">
        <f>NET_publicv4_SEK</f>
        <v>25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556">
        <f>NET_publicv6_SEK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2" t="s">
        <v>69</v>
      </c>
      <c r="K148" s="557">
        <f>NET_ingress_SEK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3"/>
      <c r="G149" s="793"/>
      <c r="H149" s="793"/>
      <c r="I149" s="793"/>
      <c r="J149" s="795" t="s">
        <v>69</v>
      </c>
      <c r="K149" s="556">
        <f>NET_egress_SEK</f>
        <v>0.25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2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556">
        <f>NET_rdns_SEK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557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858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859">
        <f>SW_win.ser.201X_SEK</f>
        <v>78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669</v>
      </c>
      <c r="C161" s="129"/>
      <c r="D161" s="30"/>
      <c r="E161" s="30" t="s">
        <v>670</v>
      </c>
      <c r="F161" s="30"/>
      <c r="G161" s="30"/>
      <c r="H161" s="30"/>
      <c r="I161" s="30"/>
      <c r="J161" s="792" t="s">
        <v>10</v>
      </c>
      <c r="K161" s="858">
        <f>SW_win.ser.201X_SEK</f>
        <v>78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859">
        <f>SW_ms.sql.ser_SEK</f>
        <v>1498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858" t="s">
        <v>635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859" t="s">
        <v>635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858" t="str">
        <f>SW_cluster.control_SEK</f>
        <v>3x instanspris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138</v>
      </c>
      <c r="K166" s="859">
        <f>SW_backup.ninja_SEK</f>
        <v>400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9">
        <f>PAAS_man.kubernetes_SEK</f>
        <v>24000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859">
        <f>PAAS_man.postgres.sql_SEK</f>
        <v>15000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3"/>
      <c r="G176" s="793"/>
      <c r="H176" s="793"/>
      <c r="I176" s="793"/>
      <c r="J176" s="801"/>
      <c r="K176" s="556">
        <f>PAAS_openshift_SEK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556" t="s">
        <v>635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8" t="s">
        <v>300</v>
      </c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68"/>
      <c r="C185" s="968"/>
      <c r="D185" s="968"/>
      <c r="E185" s="968"/>
      <c r="F185" s="968"/>
      <c r="G185" s="968"/>
      <c r="H185" s="802"/>
      <c r="J185" s="681"/>
      <c r="K185" s="863"/>
      <c r="M185" s="702"/>
    </row>
    <row r="186" spans="2:20" s="4" customFormat="1" ht="25" customHeight="1">
      <c r="B186" s="989" t="s">
        <v>639</v>
      </c>
      <c r="C186" s="989"/>
      <c r="D186" s="989"/>
      <c r="E186" s="989"/>
      <c r="F186" s="989"/>
      <c r="H186" s="802"/>
      <c r="J186" s="681"/>
      <c r="K186" s="863"/>
      <c r="M186" s="702"/>
    </row>
    <row r="187" spans="2:20" s="4" customFormat="1" ht="25" customHeight="1">
      <c r="B187" s="984" t="s">
        <v>420</v>
      </c>
      <c r="C187" s="984"/>
      <c r="D187" s="984"/>
      <c r="E187" s="984"/>
      <c r="F187" s="984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7" t="s">
        <v>94</v>
      </c>
      <c r="J192" s="797"/>
      <c r="K192" s="557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245</v>
      </c>
      <c r="J193" s="795"/>
      <c r="K193" s="556" t="s">
        <v>641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247</v>
      </c>
      <c r="J194" s="792"/>
      <c r="K194" s="557" t="s">
        <v>635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642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247</v>
      </c>
      <c r="J200" s="792"/>
      <c r="K200" s="631">
        <f>PS_consult.jun_SEK</f>
        <v>1127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247</v>
      </c>
      <c r="J201" s="795"/>
      <c r="K201" s="898">
        <f>PS_consult.sen_SEK</f>
        <v>1374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247</v>
      </c>
      <c r="J202" s="792"/>
      <c r="K202" s="631">
        <f>PS_cloudarch.jun_SEK</f>
        <v>1277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247</v>
      </c>
      <c r="J203" s="795"/>
      <c r="K203" s="898">
        <f>PS_cloudarch.sen_SEK</f>
        <v>1374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247</v>
      </c>
      <c r="J204" s="792"/>
      <c r="K204" s="631">
        <f>PS_pm.jun_SEK</f>
        <v>1139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247</v>
      </c>
      <c r="J205" s="795"/>
      <c r="K205" s="898">
        <f>PS_pm.sen_SEK</f>
        <v>1374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2" t="s">
        <v>254</v>
      </c>
      <c r="H211" s="792"/>
      <c r="I211" s="792" t="s">
        <v>308</v>
      </c>
      <c r="J211" s="792"/>
      <c r="K211" s="557" t="s">
        <v>635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3"/>
      <c r="G212" s="795" t="s">
        <v>254</v>
      </c>
      <c r="H212" s="795"/>
      <c r="I212" s="795" t="s">
        <v>308</v>
      </c>
      <c r="J212" s="795"/>
      <c r="K212" s="556" t="s">
        <v>635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2" t="s">
        <v>645</v>
      </c>
      <c r="H213" s="792"/>
      <c r="I213" s="792" t="s">
        <v>308</v>
      </c>
      <c r="J213" s="792"/>
      <c r="K213" s="557" t="s">
        <v>635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3"/>
      <c r="G214" s="795" t="s">
        <v>645</v>
      </c>
      <c r="H214" s="795"/>
      <c r="I214" s="795" t="s">
        <v>308</v>
      </c>
      <c r="J214" s="795"/>
      <c r="K214" s="556" t="s">
        <v>635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7" t="s">
        <v>313</v>
      </c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7"/>
      <c r="C223" s="987"/>
      <c r="D223" s="987"/>
      <c r="E223" s="987"/>
      <c r="F223" s="987"/>
      <c r="G223" s="987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8" t="s">
        <v>608</v>
      </c>
      <c r="C224" s="988"/>
      <c r="D224" s="988"/>
      <c r="E224" s="988"/>
      <c r="F224" s="988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666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667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667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8"/>
      <c r="H234" s="828"/>
      <c r="I234" s="775"/>
      <c r="J234" s="437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222</v>
      </c>
      <c r="C235" s="659"/>
      <c r="D235" s="660"/>
      <c r="E235" s="660"/>
      <c r="F235" s="832"/>
      <c r="G235" s="833"/>
      <c r="H235" s="833"/>
      <c r="I235" s="834"/>
      <c r="J235" s="668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VwBjruoj4cjxiWX5RbJ7t1cdRKYXZjRWHLbr7CQ4nH72UrS1oQfgaI+sA4+wvZW+Vc/jm4a72Cs7R9kmonNvZw==" saltValue="LrSINO3UBx1EYlfvvTya9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3" t="str">
        <f>"1 SEK = "&amp;NOK&amp;" NOK"</f>
        <v>1 SEK = 1 NOK</v>
      </c>
      <c r="E11" s="1023"/>
      <c r="F11" s="102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5"/>
      <c r="C16" s="995"/>
      <c r="D16" s="995"/>
      <c r="E16" s="995"/>
      <c r="F16" s="995"/>
      <c r="G16" s="99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5"/>
      <c r="C17" s="995"/>
      <c r="D17" s="995"/>
      <c r="E17" s="995"/>
      <c r="F17" s="995"/>
      <c r="G17" s="99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2" t="s">
        <v>266</v>
      </c>
      <c r="C19" s="1022"/>
      <c r="D19" s="1022"/>
      <c r="E19" s="1022"/>
      <c r="F19" s="102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4" t="s">
        <v>277</v>
      </c>
      <c r="G88" s="1014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5">
        <f>VOLUME_large_SEK</f>
        <v>1.2</v>
      </c>
      <c r="G89" s="1075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5" t="s">
        <v>72</v>
      </c>
      <c r="C95" s="995"/>
      <c r="D95" s="995"/>
      <c r="E95" s="995"/>
      <c r="F95" s="995"/>
      <c r="G95" s="995"/>
      <c r="H95" s="177"/>
      <c r="J95" s="178"/>
      <c r="K95" s="178"/>
      <c r="M95" s="179"/>
      <c r="O95" s="168"/>
    </row>
    <row r="96" spans="2:23" s="169" customFormat="1" ht="25.5" customHeight="1">
      <c r="B96" s="995"/>
      <c r="C96" s="995"/>
      <c r="D96" s="995"/>
      <c r="E96" s="995"/>
      <c r="F96" s="995"/>
      <c r="G96" s="995"/>
      <c r="H96" s="177"/>
      <c r="J96" s="178"/>
      <c r="K96" s="178"/>
      <c r="M96" s="179"/>
      <c r="O96" s="168"/>
    </row>
    <row r="97" spans="2:23" s="169" customFormat="1" ht="25.5" customHeight="1">
      <c r="B97" s="995"/>
      <c r="C97" s="995"/>
      <c r="D97" s="995"/>
      <c r="E97" s="995"/>
      <c r="F97" s="995"/>
      <c r="G97" s="995"/>
      <c r="H97" s="177"/>
      <c r="J97" s="178"/>
      <c r="K97" s="178"/>
      <c r="M97" s="179"/>
      <c r="O97" s="168"/>
    </row>
    <row r="98" spans="2:23" s="169" customFormat="1" ht="25.5" customHeight="1">
      <c r="B98" s="1071" t="s">
        <v>279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2" t="s">
        <v>280</v>
      </c>
      <c r="C99" s="1022"/>
      <c r="D99" s="1022"/>
      <c r="E99" s="1022"/>
      <c r="F99" s="102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4" t="s">
        <v>283</v>
      </c>
      <c r="E102" s="1014"/>
      <c r="F102" s="1014"/>
      <c r="G102" s="1014"/>
      <c r="H102" s="1014"/>
      <c r="I102" s="1014"/>
      <c r="J102" s="1014"/>
      <c r="K102" s="1014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4">
        <f>S3_storage.50_SEK</f>
        <v>350</v>
      </c>
      <c r="E103" s="1074"/>
      <c r="F103" s="1074"/>
      <c r="G103" s="1074"/>
      <c r="H103" s="1074"/>
      <c r="I103" s="1074"/>
      <c r="J103" s="1074"/>
      <c r="K103" s="1074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9">
        <f>S3_storage.100_SEK</f>
        <v>270</v>
      </c>
      <c r="E104" s="1069"/>
      <c r="F104" s="1069"/>
      <c r="G104" s="1069"/>
      <c r="H104" s="1069"/>
      <c r="I104" s="1069"/>
      <c r="J104" s="1069"/>
      <c r="K104" s="1069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9">
        <f>S3_storage.1000_SEK</f>
        <v>185</v>
      </c>
      <c r="E106" s="1069"/>
      <c r="F106" s="1069"/>
      <c r="G106" s="1069"/>
      <c r="H106" s="1069"/>
      <c r="I106" s="1069"/>
      <c r="J106" s="1069"/>
      <c r="K106" s="1069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0" t="str">
        <f>S3_storage.quote_SEK</f>
        <v>Be om offert</v>
      </c>
      <c r="E107" s="1070"/>
      <c r="F107" s="1070"/>
      <c r="G107" s="1070"/>
      <c r="H107" s="1070"/>
      <c r="I107" s="1070"/>
      <c r="J107" s="1070"/>
      <c r="K107" s="1070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5" t="s">
        <v>86</v>
      </c>
      <c r="C116" s="995"/>
      <c r="D116" s="995"/>
      <c r="E116" s="995"/>
      <c r="F116" s="995"/>
      <c r="G116" s="99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5"/>
      <c r="C117" s="995"/>
      <c r="D117" s="995"/>
      <c r="E117" s="995"/>
      <c r="F117" s="995"/>
      <c r="G117" s="99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5"/>
      <c r="C118" s="995"/>
      <c r="D118" s="995"/>
      <c r="E118" s="995"/>
      <c r="F118" s="995"/>
      <c r="G118" s="99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284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2" t="s">
        <v>285</v>
      </c>
      <c r="C120" s="1022"/>
      <c r="D120" s="1022"/>
      <c r="E120" s="1022"/>
      <c r="F120" s="102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4" t="s">
        <v>286</v>
      </c>
      <c r="D123" s="1014"/>
      <c r="E123" s="131" t="s">
        <v>268</v>
      </c>
      <c r="F123" s="1014" t="s">
        <v>277</v>
      </c>
      <c r="G123" s="1014"/>
      <c r="H123" s="266" t="s">
        <v>90</v>
      </c>
      <c r="I123" s="265"/>
      <c r="J123" s="1028" t="s">
        <v>287</v>
      </c>
      <c r="K123" s="1028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3">
        <f>BAAS_on.demand_SEK</f>
        <v>2.4500000000000002</v>
      </c>
      <c r="G124" s="1064"/>
      <c r="H124" s="307"/>
      <c r="I124" s="472" t="s">
        <v>69</v>
      </c>
      <c r="J124" s="1032" t="s">
        <v>94</v>
      </c>
      <c r="K124" s="1032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5">
        <f>BAAS_small_SEK</f>
        <v>1.75</v>
      </c>
      <c r="G125" s="1066"/>
      <c r="H125" s="309"/>
      <c r="I125" s="473" t="s">
        <v>69</v>
      </c>
      <c r="J125" s="1036">
        <v>0.75</v>
      </c>
      <c r="K125" s="103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7">
        <f>BAAS_large_SEK</f>
        <v>0.92</v>
      </c>
      <c r="G126" s="1068"/>
      <c r="H126" s="298"/>
      <c r="I126" s="474" t="s">
        <v>69</v>
      </c>
      <c r="J126" s="1041">
        <v>0.75</v>
      </c>
      <c r="K126" s="104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5" t="s">
        <v>292</v>
      </c>
      <c r="C137" s="995"/>
      <c r="D137" s="995"/>
      <c r="E137" s="995"/>
      <c r="F137" s="995"/>
      <c r="G137" s="99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5"/>
      <c r="C138" s="995"/>
      <c r="D138" s="995"/>
      <c r="E138" s="995"/>
      <c r="F138" s="995"/>
      <c r="G138" s="99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5"/>
      <c r="C139" s="995"/>
      <c r="D139" s="995"/>
      <c r="E139" s="995"/>
      <c r="F139" s="995"/>
      <c r="G139" s="99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2" t="s">
        <v>285</v>
      </c>
      <c r="C140" s="1022"/>
      <c r="D140" s="1022"/>
      <c r="E140" s="1022"/>
      <c r="F140" s="102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7"/>
      <c r="C141" s="997"/>
      <c r="D141" s="997"/>
      <c r="E141" s="997"/>
      <c r="F141" s="99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5" t="s">
        <v>300</v>
      </c>
      <c r="C176" s="995"/>
      <c r="D176" s="995"/>
      <c r="E176" s="995"/>
      <c r="F176" s="995"/>
      <c r="G176" s="99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5"/>
      <c r="C177" s="995"/>
      <c r="D177" s="995"/>
      <c r="E177" s="995"/>
      <c r="F177" s="995"/>
      <c r="G177" s="99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5"/>
      <c r="C178" s="995"/>
      <c r="D178" s="995"/>
      <c r="E178" s="995"/>
      <c r="F178" s="995"/>
      <c r="G178" s="99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2" t="s">
        <v>285</v>
      </c>
      <c r="C179" s="1022"/>
      <c r="D179" s="1022"/>
      <c r="E179" s="1022"/>
      <c r="F179" s="102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7"/>
      <c r="C180" s="997"/>
      <c r="D180" s="997"/>
      <c r="E180" s="997"/>
      <c r="F180" s="99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8" t="s">
        <v>313</v>
      </c>
      <c r="C211" s="998"/>
      <c r="D211" s="998"/>
      <c r="E211" s="998"/>
      <c r="F211" s="998"/>
      <c r="G211" s="99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8"/>
      <c r="C212" s="998"/>
      <c r="D212" s="998"/>
      <c r="E212" s="998"/>
      <c r="F212" s="998"/>
      <c r="G212" s="99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8"/>
      <c r="C213" s="998"/>
      <c r="D213" s="998"/>
      <c r="E213" s="998"/>
      <c r="F213" s="998"/>
      <c r="G213" s="99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61" t="s">
        <v>314</v>
      </c>
      <c r="C214" s="1061"/>
      <c r="D214" s="1061"/>
      <c r="E214" s="1061"/>
      <c r="F214" s="106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2" t="str">
        <f>SUM(E67)&amp;" GB NVME-Disk"</f>
        <v>0 GB NVME-Disk</v>
      </c>
      <c r="G221" s="106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5"/>
      <c r="C16" s="995"/>
      <c r="D16" s="995"/>
      <c r="E16" s="995"/>
      <c r="F16" s="995"/>
      <c r="G16" s="99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5"/>
      <c r="C17" s="995"/>
      <c r="D17" s="995"/>
      <c r="E17" s="995"/>
      <c r="F17" s="995"/>
      <c r="G17" s="99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7" t="s">
        <v>205</v>
      </c>
      <c r="C19" s="997"/>
      <c r="D19" s="997"/>
      <c r="E19" s="997"/>
      <c r="F19" s="99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4" t="s">
        <v>221</v>
      </c>
      <c r="G98" s="1014"/>
      <c r="H98" s="1028"/>
      <c r="I98" s="1028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5">
        <f>VOLUME_large_SEK</f>
        <v>1.2</v>
      </c>
      <c r="G99" s="1075"/>
      <c r="H99" s="1078"/>
      <c r="I99" s="107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3">
        <f>VOLUME_fast_SEK</f>
        <v>3.6</v>
      </c>
      <c r="G100" s="1073"/>
      <c r="H100" s="1080"/>
      <c r="I100" s="1080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5" t="s">
        <v>344</v>
      </c>
      <c r="C105" s="995"/>
      <c r="D105" s="995"/>
      <c r="E105" s="995"/>
      <c r="F105" s="995"/>
      <c r="G105" s="99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5"/>
      <c r="C106" s="995"/>
      <c r="D106" s="995"/>
      <c r="E106" s="995"/>
      <c r="F106" s="995"/>
      <c r="G106" s="99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5"/>
      <c r="C107" s="995"/>
      <c r="D107" s="995"/>
      <c r="E107" s="995"/>
      <c r="F107" s="995"/>
      <c r="G107" s="99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4" t="s">
        <v>223</v>
      </c>
      <c r="C108" s="1044"/>
      <c r="D108" s="1044"/>
      <c r="E108" s="1044"/>
      <c r="F108" s="104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2" t="s">
        <v>345</v>
      </c>
      <c r="C109" s="1022"/>
      <c r="D109" s="1022"/>
      <c r="E109" s="1022"/>
      <c r="F109" s="102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4" t="s">
        <v>346</v>
      </c>
      <c r="E112" s="1014"/>
      <c r="F112" s="1014"/>
      <c r="G112" s="1014"/>
      <c r="H112" s="1014"/>
      <c r="I112" s="1014"/>
      <c r="J112" s="1014"/>
      <c r="K112" s="1014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81">
        <f>S3_storage.50_SUNET</f>
        <v>0.35</v>
      </c>
      <c r="E113" s="1081"/>
      <c r="F113" s="1074"/>
      <c r="G113" s="1074"/>
      <c r="H113" s="1074"/>
      <c r="I113" s="1074"/>
      <c r="J113" s="1074"/>
      <c r="K113" s="1074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9">
        <f>S3_storage.100_SUNET</f>
        <v>0.19</v>
      </c>
      <c r="E114" s="1079"/>
      <c r="F114" s="1069"/>
      <c r="G114" s="1069"/>
      <c r="H114" s="1069"/>
      <c r="I114" s="1069"/>
      <c r="J114" s="1069"/>
      <c r="K114" s="1069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2">
        <f>S3_storage.500_SUNET</f>
        <v>0.1</v>
      </c>
      <c r="E115" s="1082"/>
      <c r="F115" s="1072"/>
      <c r="G115" s="1072"/>
      <c r="H115" s="1072"/>
      <c r="I115" s="1072"/>
      <c r="J115" s="1072"/>
      <c r="K115" s="1072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9">
        <f>S3_storage.1000_SUNET</f>
        <v>0.06</v>
      </c>
      <c r="E116" s="1079"/>
      <c r="F116" s="1069"/>
      <c r="G116" s="1069"/>
      <c r="H116" s="1069"/>
      <c r="I116" s="1069"/>
      <c r="J116" s="1069"/>
      <c r="K116" s="1069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3" t="str">
        <f>S3_storage.quote_SUNET</f>
        <v>Be om offert</v>
      </c>
      <c r="E117" s="1083"/>
      <c r="F117" s="1070"/>
      <c r="G117" s="1070"/>
      <c r="H117" s="1070"/>
      <c r="I117" s="1070"/>
      <c r="J117" s="1070"/>
      <c r="K117" s="1070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4" t="s">
        <v>221</v>
      </c>
      <c r="G120" s="1014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4" cm="1">
        <f t="array" ref="F121">_xlfn.IFS(H121&lt;=299,D113,H121&lt;1000,D114,H121&lt;2000,D115,H121&gt;=2000,D116)</f>
        <v>0.35</v>
      </c>
      <c r="G121" s="1085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6">
        <f>ROUNDUP((H121*1000)*F121,2)</f>
        <v>0</v>
      </c>
      <c r="N121" s="1076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7">
        <f>SUM(M121)</f>
        <v>0</v>
      </c>
      <c r="N122" s="1077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5" t="s">
        <v>86</v>
      </c>
      <c r="C126" s="995"/>
      <c r="D126" s="995"/>
      <c r="E126" s="995"/>
      <c r="F126" s="995"/>
      <c r="G126" s="99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5"/>
      <c r="C127" s="995"/>
      <c r="D127" s="995"/>
      <c r="E127" s="995"/>
      <c r="F127" s="995"/>
      <c r="G127" s="99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5"/>
      <c r="C128" s="995"/>
      <c r="D128" s="995"/>
      <c r="E128" s="995"/>
      <c r="F128" s="995"/>
      <c r="G128" s="99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6" t="s">
        <v>87</v>
      </c>
      <c r="C129" s="1016"/>
      <c r="D129" s="1016"/>
      <c r="E129" s="1016"/>
      <c r="F129" s="101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7" t="s">
        <v>226</v>
      </c>
      <c r="C130" s="997"/>
      <c r="D130" s="997"/>
      <c r="E130" s="997"/>
      <c r="F130" s="99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4" t="s">
        <v>228</v>
      </c>
      <c r="D133" s="1014"/>
      <c r="E133" s="131" t="s">
        <v>210</v>
      </c>
      <c r="F133" s="1014" t="s">
        <v>221</v>
      </c>
      <c r="G133" s="1014"/>
      <c r="H133" s="266" t="s">
        <v>90</v>
      </c>
      <c r="I133" s="265"/>
      <c r="J133" s="1028" t="s">
        <v>229</v>
      </c>
      <c r="K133" s="1028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3">
        <f>BAAS_on.demand_SEK</f>
        <v>2.4500000000000002</v>
      </c>
      <c r="G134" s="1064"/>
      <c r="H134" s="307">
        <v>0</v>
      </c>
      <c r="I134" s="472" t="s">
        <v>69</v>
      </c>
      <c r="J134" s="1032" t="s">
        <v>94</v>
      </c>
      <c r="K134" s="103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5">
        <f>BAAS_small_SEK</f>
        <v>1.75</v>
      </c>
      <c r="G135" s="1066"/>
      <c r="H135" s="309">
        <v>0</v>
      </c>
      <c r="I135" s="473" t="s">
        <v>69</v>
      </c>
      <c r="J135" s="1036">
        <v>0.75</v>
      </c>
      <c r="K135" s="103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7">
        <f>BAAS_large_SEK</f>
        <v>0.92</v>
      </c>
      <c r="G136" s="1068"/>
      <c r="H136" s="298">
        <v>0</v>
      </c>
      <c r="I136" s="474" t="s">
        <v>69</v>
      </c>
      <c r="J136" s="1041">
        <v>0.75</v>
      </c>
      <c r="K136" s="104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8" t="s">
        <v>260</v>
      </c>
      <c r="C150" s="998"/>
      <c r="D150" s="998"/>
      <c r="E150" s="998"/>
      <c r="F150" s="998"/>
      <c r="G150" s="99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8"/>
      <c r="C151" s="998"/>
      <c r="D151" s="998"/>
      <c r="E151" s="998"/>
      <c r="F151" s="998"/>
      <c r="G151" s="99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8"/>
      <c r="C152" s="998"/>
      <c r="D152" s="998"/>
      <c r="E152" s="998"/>
      <c r="F152" s="998"/>
      <c r="G152" s="99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61" t="s">
        <v>226</v>
      </c>
      <c r="C153" s="1061"/>
      <c r="D153" s="1061"/>
      <c r="E153" s="1061"/>
      <c r="F153" s="106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2022-09-27T08:28:41Z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