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SEK/"/>
    </mc:Choice>
  </mc:AlternateContent>
  <xr:revisionPtr revIDLastSave="0" documentId="8_{25824714-EB93-4145-A016-176BD6C3D1A7}" xr6:coauthVersionLast="47" xr6:coauthVersionMax="47" xr10:uidLastSave="{00000000-0000-0000-0000-000000000000}"/>
  <workbookProtection workbookAlgorithmName="SHA-512" workbookHashValue="JT48WGpl4xpg08Sd35lsbtBtgiraasTZQVjfyWDC+Gyy0BU0vymh0OykbkB52eAnrt5qDfAcmPo2tdJp/yBf7w==" workbookSaltValue="I7LZiPOabv9JXKbqBsHtcA==" workbookSpinCount="100000" lockStructure="1"/>
  <bookViews>
    <workbookView xWindow="5260" yWindow="800" windowWidth="28800" windowHeight="17500" tabRatio="530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2022'!$A$1:$N$315</definedName>
    <definedName name="_xlnm.Print_Area" localSheetId="3">'NOK - Safespring tjenester 2022'!$A$1:$N$315</definedName>
    <definedName name="_xlnm.Print_Area" localSheetId="4">'NOK - Safesprings tjeneste 2021'!$A$1:$N$305</definedName>
    <definedName name="_xlnm.Print_Area" localSheetId="0">'SEK - Safesprings tjänster 2022'!$A$1:$N$315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4" i="12" l="1"/>
  <c r="G26" i="12"/>
  <c r="C231" i="12" a="1"/>
  <c r="C231" i="12" s="1"/>
  <c r="K165" i="12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/>
  <c r="D64" i="12" a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4" i="11"/>
  <c r="K179" i="11"/>
  <c r="K178" i="11"/>
  <c r="K177" i="11"/>
  <c r="K175" i="11"/>
  <c r="K165" i="11"/>
  <c r="K164" i="11"/>
  <c r="K163" i="11"/>
  <c r="K162" i="11"/>
  <c r="K150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1" i="11" a="1"/>
  <c r="C231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/>
  <c r="E64" i="11" a="1"/>
  <c r="D64" i="11"/>
  <c r="D64" i="11" a="1"/>
  <c r="C64" i="11" a="1"/>
  <c r="C64" i="11" s="1"/>
  <c r="K132" i="3"/>
  <c r="D38" i="3" a="1"/>
  <c r="D38" i="3" s="1"/>
  <c r="E38" i="3" a="1"/>
  <c r="E38" i="3" s="1"/>
  <c r="I38" i="3"/>
  <c r="C231" i="3" a="1"/>
  <c r="C231" i="3" s="1"/>
  <c r="I55" i="3"/>
  <c r="K117" i="3"/>
  <c r="K118" i="3"/>
  <c r="I119" i="3"/>
  <c r="C234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G94" i="3"/>
  <c r="K94" i="3" s="1"/>
  <c r="D104" i="3"/>
  <c r="K131" i="3"/>
  <c r="K150" i="3"/>
  <c r="D117" i="8"/>
  <c r="D114" i="8"/>
  <c r="D108" i="8"/>
  <c r="F67" i="4"/>
  <c r="K176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K133" i="12" l="1"/>
  <c r="J234" i="12" s="1"/>
  <c r="D104" i="8"/>
  <c r="E103" i="8" s="1" a="1"/>
  <c r="E103" i="8" s="1"/>
  <c r="M103" i="8" s="1" a="1"/>
  <c r="M103" i="8" s="1"/>
  <c r="M109" i="8" s="1"/>
  <c r="G93" i="11"/>
  <c r="K93" i="11" s="1"/>
  <c r="K176" i="3"/>
  <c r="K94" i="11"/>
  <c r="G94" i="12"/>
  <c r="K94" i="12" s="1"/>
  <c r="C232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4" i="11" s="1"/>
  <c r="C232" i="11"/>
  <c r="K95" i="11"/>
  <c r="J232" i="11" s="1"/>
  <c r="D103" i="3"/>
  <c r="E99" i="3" s="1" a="1"/>
  <c r="E99" i="3" s="1"/>
  <c r="K99" i="3" s="1" a="1"/>
  <c r="K99" i="3" s="1"/>
  <c r="K105" i="3" s="1"/>
  <c r="D101" i="11"/>
  <c r="D102" i="3"/>
  <c r="C23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4" i="3" s="1"/>
  <c r="K175" i="3"/>
  <c r="K177" i="3"/>
  <c r="K178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3" i="12" s="1"/>
  <c r="F61" i="4"/>
  <c r="F62" i="4"/>
  <c r="E62" i="4"/>
  <c r="K174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L174" i="8" l="1"/>
  <c r="K174" i="11"/>
  <c r="G132" i="11"/>
  <c r="L173" i="8"/>
  <c r="G131" i="11"/>
  <c r="K173" i="11"/>
  <c r="K95" i="12"/>
  <c r="J232" i="12" s="1"/>
  <c r="K174" i="3"/>
  <c r="K173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K38" i="12" s="1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64" i="12" l="1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9" i="11" s="1"/>
  <c r="F42" i="4"/>
  <c r="K146" i="11" s="1"/>
  <c r="L167" i="8"/>
  <c r="E70" i="4"/>
  <c r="K200" i="12" s="1"/>
  <c r="E75" i="4"/>
  <c r="K205" i="12" s="1"/>
  <c r="E74" i="4"/>
  <c r="K204" i="12" s="1"/>
  <c r="E73" i="4"/>
  <c r="K203" i="12" s="1"/>
  <c r="E72" i="4"/>
  <c r="K202" i="12" s="1"/>
  <c r="E71" i="4"/>
  <c r="K201" i="12" s="1"/>
  <c r="K165" i="3"/>
  <c r="K164" i="3"/>
  <c r="K163" i="3"/>
  <c r="L198" i="8" l="1"/>
  <c r="K201" i="11"/>
  <c r="L202" i="8"/>
  <c r="K205" i="11"/>
  <c r="L201" i="8"/>
  <c r="K204" i="11"/>
  <c r="L197" i="8"/>
  <c r="K200" i="11"/>
  <c r="L200" i="8"/>
  <c r="K203" i="11"/>
  <c r="L199" i="8"/>
  <c r="K202" i="11"/>
  <c r="M191" i="10"/>
  <c r="M196" i="10"/>
  <c r="M192" i="10"/>
  <c r="K204" i="3"/>
  <c r="M195" i="10"/>
  <c r="K203" i="3"/>
  <c r="M194" i="10"/>
  <c r="K202" i="3"/>
  <c r="M193" i="10"/>
  <c r="K200" i="3"/>
  <c r="K201" i="3"/>
  <c r="K205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K166" i="12" s="1"/>
  <c r="F58" i="4"/>
  <c r="F26" i="4"/>
  <c r="E26" i="4"/>
  <c r="G117" i="12" s="1"/>
  <c r="F23" i="4"/>
  <c r="E23" i="4"/>
  <c r="G116" i="12" s="1"/>
  <c r="K116" i="12" s="1"/>
  <c r="K119" i="12" s="1"/>
  <c r="J233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L153" i="8" l="1"/>
  <c r="K148" i="11"/>
  <c r="F71" i="12"/>
  <c r="K71" i="12"/>
  <c r="F131" i="8"/>
  <c r="G117" i="11"/>
  <c r="K71" i="11"/>
  <c r="L168" i="8"/>
  <c r="K166" i="11"/>
  <c r="L156" i="8"/>
  <c r="K151" i="11"/>
  <c r="F130" i="8"/>
  <c r="G116" i="11"/>
  <c r="K116" i="11" s="1"/>
  <c r="K119" i="11" s="1"/>
  <c r="J233" i="11" s="1"/>
  <c r="L152" i="8"/>
  <c r="K147" i="11"/>
  <c r="M150" i="10"/>
  <c r="M162" i="10"/>
  <c r="G116" i="3"/>
  <c r="K116" i="3" s="1"/>
  <c r="G117" i="3"/>
  <c r="M146" i="10"/>
  <c r="M148" i="10"/>
  <c r="M145" i="10"/>
  <c r="M147" i="10"/>
  <c r="J232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6" i="3"/>
  <c r="K148" i="3"/>
  <c r="K166" i="3"/>
  <c r="K147" i="3"/>
  <c r="K149" i="3"/>
  <c r="K151" i="3"/>
  <c r="K16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G70" i="12"/>
  <c r="G72" i="11"/>
  <c r="G72" i="12"/>
  <c r="K72" i="11"/>
  <c r="F72" i="11"/>
  <c r="F70" i="11"/>
  <c r="K70" i="11"/>
  <c r="K73" i="11" s="1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E53" i="4"/>
  <c r="K161" i="12" s="1"/>
  <c r="F53" i="4"/>
  <c r="F89" i="8" l="1"/>
  <c r="G79" i="11"/>
  <c r="G81" i="11"/>
  <c r="K160" i="11"/>
  <c r="K159" i="11"/>
  <c r="G81" i="12"/>
  <c r="G79" i="12"/>
  <c r="K159" i="12"/>
  <c r="K160" i="12"/>
  <c r="K72" i="12"/>
  <c r="F72" i="12"/>
  <c r="L163" i="8"/>
  <c r="K161" i="11"/>
  <c r="K80" i="12"/>
  <c r="F80" i="12"/>
  <c r="F70" i="12"/>
  <c r="K70" i="12"/>
  <c r="F90" i="8"/>
  <c r="G80" i="11"/>
  <c r="K80" i="11"/>
  <c r="F80" i="11"/>
  <c r="M157" i="10"/>
  <c r="L81" i="10"/>
  <c r="L84" i="10" s="1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K161" i="3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60" i="3"/>
  <c r="K159" i="3"/>
  <c r="H72" i="8"/>
  <c r="H73" i="8"/>
  <c r="H74" i="8"/>
  <c r="H75" i="8"/>
  <c r="L161" i="8"/>
  <c r="L162" i="8"/>
  <c r="G80" i="3"/>
  <c r="K89" i="8"/>
  <c r="E89" i="8"/>
  <c r="G79" i="3"/>
  <c r="K79" i="12" l="1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1" i="12" s="1"/>
  <c r="J235" i="12" s="1"/>
  <c r="K82" i="11"/>
  <c r="J231" i="11" s="1"/>
  <c r="J235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3" i="3" s="1"/>
  <c r="K80" i="3"/>
  <c r="K79" i="3"/>
  <c r="F80" i="3"/>
  <c r="F79" i="3"/>
  <c r="K82" i="3" l="1"/>
  <c r="J231" i="3" s="1"/>
  <c r="J23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<sst xmlns="http://schemas.openxmlformats.org/spreadsheetml/2006/main" count="2177" uniqueCount="665">
  <si>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</si>
  <si>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</si>
  <si>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</si>
  <si>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</si>
  <si>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</si>
  <si>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</si>
  <si>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</si>
  <si>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</si>
  <si>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</si>
  <si>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</si>
  <si>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</si>
  <si>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</si>
  <si>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</si>
  <si>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</si>
  <si>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</si>
  <si>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</si>
  <si>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</si>
  <si>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</si>
  <si>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</si>
  <si>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</si>
  <si>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</si>
  <si>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</si>
  <si>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</si>
  <si>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</si>
  <si>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</si>
  <si>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</si>
  <si>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</si>
  <si>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</si>
  <si>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</si>
  <si>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</si>
  <si>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</si>
  <si>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</si>
  <si>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</si>
  <si>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</si>
  <si>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</si>
  <si>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</si>
  <si>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</si>
  <si>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</si>
  <si>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</si>
  <si>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</si>
  <si>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</si>
  <si>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</si>
  <si>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</si>
  <si>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</si>
  <si>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</si>
  <si>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</si>
  <si>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</si>
  <si>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</si>
  <si>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</si>
  <si>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</si>
  <si>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</si>
  <si>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</si>
  <si>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</si>
  <si>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</si>
  <si>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</si>
  <si>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</si>
  <si>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</si>
  <si>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</si>
  <si>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</si>
  <si>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</si>
  <si>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</si>
  <si>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</si>
  <si>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</si>
  <si>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</si>
  <si>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</si>
  <si>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</si>
  <si>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</si>
  <si>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</si>
  <si>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</si>
  <si>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</si>
  <si>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</si>
  <si>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</si>
  <si>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</si>
  <si>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</si>
  <si>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</si>
  <si>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</si>
  <si>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</si>
  <si>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</si>
  <si>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</si>
  <si>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</si>
  <si>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</si>
  <si>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</si>
  <si>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</si>
  <si>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</si>
  <si>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</si>
  <si>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</si>
  <si>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</si>
  <si>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</si>
  <si>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</si>
  <si>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</si>
  <si>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</si>
  <si>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</si>
  <si>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</si>
  <si>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</si>
  <si>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</si>
  <si>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</si>
  <si>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</si>
  <si>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</si>
  <si>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</si>
  <si>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</si>
  <si>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</si>
  <si>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</si>
  <si>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</si>
  <si>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</si>
  <si>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</si>
  <si>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</si>
  <si>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</si>
  <si>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</si>
  <si>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</si>
  <si>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</si>
  <si>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</si>
  <si>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</si>
  <si>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</si>
  <si>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</si>
  <si>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</si>
  <si>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</si>
  <si>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</si>
  <si>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</si>
  <si>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</si>
  <si>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</si>
  <si>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</si>
  <si>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</si>
  <si>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</si>
  <si>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</si>
  <si>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</si>
  <si>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</si>
  <si>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</si>
  <si>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</si>
  <si>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</si>
  <si>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</si>
  <si>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</si>
  <si>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</si>
  <si>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</si>
  <si>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</si>
  <si>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</si>
  <si>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</si>
  <si>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</si>
  <si>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</si>
  <si>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</si>
  <si>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</si>
  <si>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</si>
  <si>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</si>
  <si>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</si>
  <si>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</si>
  <si>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</si>
  <si>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</si>
  <si>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</si>
  <si>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</si>
  <si>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</si>
  <si>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</si>
  <si>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</si>
  <si>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</si>
  <si>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</si>
  <si>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</si>
  <si>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</si>
  <si>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</si>
  <si>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</si>
  <si>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</si>
  <si>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</si>
  <si>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</si>
  <si>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</si>
  <si>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</si>
  <si>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</si>
  <si>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</si>
  <si>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</si>
  <si>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</si>
  <si>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</si>
  <si>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</si>
  <si>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</si>
  <si>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</si>
  <si>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</si>
  <si>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</si>
  <si>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</si>
  <si>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</si>
  <si>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</si>
  <si>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</si>
  <si>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</si>
  <si>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</si>
  <si>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</si>
  <si>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</si>
  <si>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</si>
  <si>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</si>
  <si>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</si>
  <si>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</si>
  <si>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</si>
  <si>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</si>
  <si>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</si>
  <si>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</si>
  <si>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</si>
  <si>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</si>
  <si>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</si>
  <si>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</si>
  <si>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</si>
  <si>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</si>
  <si>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</si>
  <si>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</si>
  <si>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</si>
  <si>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</si>
  <si>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</si>
  <si>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</si>
  <si>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</si>
  <si>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</si>
  <si>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</si>
  <si>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</si>
  <si>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</si>
  <si>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</si>
  <si>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</si>
  <si>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</si>
  <si>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</si>
  <si>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</si>
  <si>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</si>
  <si>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</si>
  <si>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</si>
  <si>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</si>
  <si>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</si>
  <si>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</si>
  <si>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</si>
  <si>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</si>
  <si>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</si>
  <si>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</si>
  <si>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</si>
  <si>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</si>
  <si>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</si>
  <si>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</si>
  <si>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</si>
  <si>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</si>
  <si>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</si>
  <si>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</si>
  <si>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</si>
  <si>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</si>
  <si>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</si>
  <si>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</si>
  <si>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</si>
  <si>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</si>
  <si>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</si>
  <si>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</si>
  <si>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</si>
  <si>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</si>
  <si>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</si>
  <si>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</si>
  <si>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</si>
  <si>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</si>
  <si>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Instans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</si>
  <si>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</si>
  <si>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</si>
  <si>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</si>
  <si>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</si>
  <si>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</si>
  <si>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</si>
  <si>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</si>
  <si>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</si>
  <si>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</si>
  <si>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</si>
  <si>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</si>
  <si>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</si>
  <si>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</si>
  <si>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</si>
  <si>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</si>
  <si>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</si>
  <si>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</si>
  <si>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</si>
  <si>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</si>
  <si>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</si>
  <si>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</si>
  <si>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</si>
  <si>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</si>
  <si>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</si>
  <si>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</si>
  <si>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</si>
  <si>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</si>
  <si>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</si>
  <si>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</si>
  <si>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</si>
  <si>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</si>
  <si>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</si>
  <si>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</si>
  <si>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</si>
  <si>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</si>
  <si>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</si>
  <si>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</si>
  <si>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</si>
  <si>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</si>
  <si>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</si>
  <si>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</si>
  <si>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</si>
  <si>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</si>
  <si>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</si>
  <si>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</si>
  <si>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</si>
  <si>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</si>
  <si>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</si>
  <si>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</si>
  <si>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</si>
  <si>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</si>
  <si>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</si>
  <si>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</si>
  <si>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</si>
  <si>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</si>
  <si>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</si>
  <si>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</si>
  <si>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</si>
  <si>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</si>
  <si>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</si>
  <si>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</si>
  <si>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</si>
  <si>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</si>
  <si>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</si>
  <si>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</si>
  <si>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</si>
  <si>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</si>
  <si>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</si>
  <si>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</si>
  <si>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</si>
  <si>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</si>
  <si>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</si>
  <si>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</si>
  <si>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</si>
  <si>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</si>
  <si>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</si>
  <si>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</si>
  <si>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</si>
  <si>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</si>
  <si>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</si>
  <si>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</si>
  <si>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</si>
  <si>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</si>
  <si>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</si>
  <si>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</si>
  <si>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</si>
  <si>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</si>
  <si>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</si>
  <si>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</si>
  <si>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</si>
  <si>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</si>
  <si>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</si>
  <si>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</si>
  <si>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</si>
  <si>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</si>
  <si>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</si>
  <si>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</si>
  <si>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</si>
  <si>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</si>
  <si>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</si>
  <si>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</si>
  <si>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</si>
  <si>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</si>
  <si>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</si>
  <si>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</si>
  <si>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</si>
  <si>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</si>
  <si>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</si>
  <si>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</si>
  <si>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</si>
  <si>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</si>
  <si>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</si>
  <si>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</si>
  <si>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</si>
  <si>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</si>
  <si>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</si>
  <si>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</si>
  <si>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</si>
  <si>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</si>
  <si>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</si>
  <si>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</si>
  <si>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</si>
  <si>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</si>
  <si>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</si>
  <si>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</si>
  <si>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</si>
  <si>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</si>
  <si>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</si>
  <si>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</si>
  <si>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</si>
  <si>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</si>
  <si>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</si>
  <si>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</si>
  <si>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</si>
  <si>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</si>
  <si>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</si>
  <si>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</si>
  <si>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</si>
  <si>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</si>
  <si>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</si>
  <si>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</si>
  <si>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</si>
  <si>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</si>
  <si>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</si>
  <si>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</si>
  <si>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</si>
  <si>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</si>
  <si>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</si>
  <si>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</si>
  <si>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</si>
  <si>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</si>
  <si>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</si>
  <si>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</si>
  <si>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</si>
  <si>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</si>
  <si>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</si>
  <si>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</si>
  <si>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</si>
  <si>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</si>
  <si>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</si>
  <si>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</si>
  <si>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</si>
  <si>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</si>
  <si>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</si>
  <si>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</si>
  <si>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</si>
  <si>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</si>
  <si>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</si>
  <si>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</si>
  <si>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</si>
  <si>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</si>
  <si>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</si>
  <si>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</si>
  <si>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</si>
  <si>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</si>
  <si>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</si>
  <si>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</si>
  <si>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</si>
  <si>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</si>
  <si>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</si>
  <si>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</si>
  <si>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</si>
  <si>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</si>
  <si>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</si>
  <si>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</si>
  <si>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</si>
  <si>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</si>
  <si>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</si>
  <si>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</si>
  <si>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</si>
  <si>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</si>
  <si>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</si>
  <si>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</si>
  <si>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</si>
  <si>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</si>
  <si>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</si>
  <si>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</si>
  <si>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</si>
  <si>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</si>
  <si>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</si>
  <si>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</si>
  <si>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</si>
  <si>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</si>
  <si>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</si>
  <si>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</si>
  <si>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</si>
  <si>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</si>
  <si>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</si>
  <si>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</si>
  <si>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</si>
  <si>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</si>
  <si>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t>Kör Compliant Kubernetes som en managerad tjänst. Safespring Compute tillkommer.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</si>
  <si>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</si>
  <si>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</si>
  <si>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</si>
  <si>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</si>
  <si>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</si>
  <si>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</si>
  <si>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</si>
  <si>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</si>
  <si>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</si>
  <si>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</si>
  <si>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</si>
  <si>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</si>
  <si>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</si>
  <si>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</si>
  <si>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</si>
  <si>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</si>
  <si>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</si>
  <si>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</si>
  <si>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</si>
  <si>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</si>
  <si>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</si>
  <si>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</si>
  <si>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</si>
  <si>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</si>
  <si>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</si>
  <si>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</si>
  <si>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</si>
  <si>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</si>
  <si>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</si>
  <si>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</si>
  <si>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</si>
  <si>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</si>
  <si>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</si>
  <si>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</si>
  <si>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</si>
  <si>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</si>
  <si>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</si>
  <si>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</si>
  <si>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</si>
  <si>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</si>
  <si>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</si>
  <si>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</si>
  <si>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</si>
  <si>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</si>
  <si>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</si>
  <si>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</si>
  <si>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</si>
  <si>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</si>
  <si>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</si>
  <si>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</si>
  <si>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</si>
  <si>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</si>
  <si>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</si>
  <si>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</si>
  <si>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</si>
  <si>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</si>
  <si>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</si>
  <si>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stackn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</si>
  <si>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</si>
  <si>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</si>
  <si>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</si>
  <si>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</si>
  <si>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</si>
  <si>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</si>
  <si>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</si>
  <si>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</si>
  <si>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</si>
  <si>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</si>
  <si>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</si>
  <si>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</si>
  <si>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</si>
  <si>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</si>
  <si>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</si>
  <si>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</si>
  <si>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</si>
  <si>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</si>
  <si>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</si>
  <si>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</si>
  <si>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</si>
  <si>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</si>
  <si>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</si>
  <si>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</si>
  <si>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</si>
  <si>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</si>
  <si>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</si>
  <si>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</si>
  <si>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</si>
  <si>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</si>
  <si>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</si>
  <si>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</si>
  <si>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08:00 - 17:01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</si>
  <si>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</si>
  <si>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</si>
  <si>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</si>
  <si>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</si>
  <si>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</si>
  <si>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</si>
  <si>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</si>
  <si>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5 The support fee is charged at 3 % of the total volume with a minimum fee of 1500 SEK per month.</t>
  </si>
  <si>
    <t>Price calculator 2022-02-23</t>
  </si>
  <si>
    <t>Priskalkylator 2022-02-23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</si>
  <si>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</si>
  <si>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</si>
  <si>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</si>
  <si>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</si>
  <si>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</si>
  <si>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</si>
  <si>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</si>
  <si>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</si>
  <si>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</si>
  <si>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</si>
  <si>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</si>
  <si>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</si>
  <si>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</si>
  <si>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</si>
  <si>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</si>
  <si>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</si>
  <si>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</si>
  <si>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</si>
  <si>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</si>
  <si>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</si>
  <si>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</si>
  <si>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</si>
  <si>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</si>
  <si>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</si>
  <si>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</si>
  <si>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</si>
  <si>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</si>
  <si>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</si>
  <si>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</si>
  <si>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</si>
  <si>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</si>
  <si>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</si>
  <si>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</si>
  <si>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</si>
  <si>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</si>
  <si>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</si>
  <si>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</si>
  <si>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</si>
  <si>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</si>
  <si>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</si>
  <si>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</si>
  <si>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</si>
  <si>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r>
      <rPr>
        <i/>
        <vertAlign val="superscript"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</si>
  <si>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</si>
  <si>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</si>
  <si>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</si>
  <si>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</si>
  <si>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</si>
  <si>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</si>
  <si>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</si>
  <si>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</si>
  <si>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</si>
  <si>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</si>
  <si>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</si>
  <si>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</si>
  <si>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</si>
  <si>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</si>
  <si>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</si>
  <si>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Priskalkulator 23.02.2022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</si>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</sst>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i/>
      <vertAlign val="superscript"/>
      <sz val="10"/>
      <color theme="6"/>
      <name val="Montserrat SemiBold"/>
    </font>
    <font>
      <sz val="9"/>
      <color theme="5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95">
    <xf numFmtId="0" fontId="0" fillId="0" borderId="0" xfId="0"/>
    <xf numFmtId="0" fontId="9" fillId="0" borderId="0" xfId="0" applyFont="1" applyFill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Alignment="1" applyProtection="1">
      <protection hidden="1"/>
    </xf>
    <xf numFmtId="0" fontId="9" fillId="0" borderId="0" xfId="0" applyFont="1" applyAlignment="1" applyProtection="1">
      <alignment vertical="center"/>
      <protection hidden="1"/>
    </xf>
    <xf numFmtId="0" fontId="22" fillId="2" borderId="0" xfId="0" applyFont="1" applyFill="1" applyBorder="1" applyAlignment="1" applyProtection="1">
      <alignment vertical="center" readingOrder="1"/>
      <protection hidden="1"/>
    </xf>
    <xf numFmtId="0" fontId="23" fillId="0" borderId="1" xfId="0" applyFont="1" applyFill="1" applyBorder="1" applyAlignment="1" applyProtection="1">
      <alignment horizontal="left" readingOrder="1"/>
      <protection hidden="1"/>
    </xf>
    <xf numFmtId="0" fontId="23" fillId="0" borderId="1" xfId="0" applyFont="1" applyFill="1" applyBorder="1" applyAlignment="1" applyProtection="1">
      <alignment horizontal="center" readingOrder="1"/>
      <protection hidden="1"/>
    </xf>
    <xf numFmtId="0" fontId="23" fillId="0" borderId="1" xfId="0" applyFont="1" applyFill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Border="1" applyAlignment="1" applyProtection="1">
      <alignment horizontal="center" vertical="center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center" vertical="center" readingOrder="1"/>
      <protection hidden="1"/>
    </xf>
    <xf numFmtId="0" fontId="12" fillId="0" borderId="0" xfId="0" applyFont="1" applyFill="1" applyBorder="1" applyAlignment="1" applyProtection="1">
      <alignment horizontal="center" vertical="center" readingOrder="1"/>
      <protection hidden="1"/>
    </xf>
    <xf numFmtId="0" fontId="37" fillId="0" borderId="0" xfId="0" applyFont="1" applyFill="1" applyBorder="1" applyAlignment="1" applyProtection="1">
      <alignment horizontal="left" vertical="center" readingOrder="1"/>
      <protection hidden="1"/>
    </xf>
    <xf numFmtId="0" fontId="38" fillId="0" borderId="0" xfId="0" applyFont="1" applyFill="1" applyBorder="1" applyAlignment="1" applyProtection="1">
      <alignment horizontal="left" vertical="center" readingOrder="1"/>
      <protection hidden="1"/>
    </xf>
    <xf numFmtId="0" fontId="14" fillId="0" borderId="0" xfId="0" applyFont="1" applyFill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horizontal="left" readingOrder="1"/>
      <protection hidden="1"/>
    </xf>
    <xf numFmtId="0" fontId="10" fillId="0" borderId="0" xfId="0" applyFont="1" applyFill="1" applyBorder="1" applyAlignment="1" applyProtection="1">
      <alignment readingOrder="1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Border="1" applyAlignment="1" applyProtection="1">
      <alignment vertical="center"/>
      <protection hidden="1"/>
    </xf>
    <xf numFmtId="164" fontId="19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0" borderId="0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Border="1" applyAlignment="1" applyProtection="1">
      <alignment vertical="center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Border="1" applyAlignment="1" applyProtection="1">
      <alignment horizontal="left" vertical="center" readingOrder="1"/>
      <protection hidden="1"/>
    </xf>
    <xf numFmtId="0" fontId="11" fillId="4" borderId="0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vertical="center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Fill="1" applyBorder="1" applyAlignment="1" applyProtection="1">
      <alignment vertical="center" shrinkToFit="1" readingOrder="1"/>
      <protection hidden="1"/>
    </xf>
    <xf numFmtId="0" fontId="9" fillId="2" borderId="0" xfId="0" applyFont="1" applyFill="1" applyBorder="1" applyAlignment="1" applyProtection="1">
      <alignment vertical="center"/>
      <protection hidden="1"/>
    </xf>
    <xf numFmtId="0" fontId="9" fillId="2" borderId="0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Border="1" applyAlignment="1" applyProtection="1">
      <alignment horizontal="right" vertical="center"/>
      <protection hidden="1"/>
    </xf>
    <xf numFmtId="0" fontId="16" fillId="4" borderId="0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Border="1" applyAlignment="1" applyProtection="1">
      <alignment horizontal="left" vertical="center" readingOrder="1"/>
      <protection hidden="1"/>
    </xf>
    <xf numFmtId="0" fontId="38" fillId="4" borderId="0" xfId="0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Border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horizontal="left" vertical="center" indent="1" readingOrder="1"/>
      <protection hidden="1"/>
    </xf>
    <xf numFmtId="0" fontId="38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0" fontId="6" fillId="0" borderId="0" xfId="0" applyFont="1" applyBorder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Fill="1" applyBorder="1" applyAlignment="1" applyProtection="1">
      <alignment horizontal="left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readingOrder="1"/>
      <protection hidden="1"/>
    </xf>
    <xf numFmtId="0" fontId="6" fillId="0" borderId="6" xfId="0" applyFont="1" applyFill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readingOrder="1"/>
      <protection hidden="1"/>
    </xf>
    <xf numFmtId="0" fontId="47" fillId="0" borderId="0" xfId="0" applyFont="1" applyFill="1" applyBorder="1" applyAlignment="1" applyProtection="1">
      <alignment horizontal="left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center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47" fillId="0" borderId="0" xfId="0" applyFont="1" applyFill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 applyProtection="1">
      <alignment horizontal="left"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Border="1" applyAlignment="1" applyProtection="1">
      <alignment horizontal="right" vertical="center" readingOrder="1"/>
      <protection hidden="1"/>
    </xf>
    <xf numFmtId="0" fontId="21" fillId="2" borderId="0" xfId="0" applyFont="1" applyFill="1" applyBorder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Border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48" fillId="2" borderId="0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Fill="1" applyBorder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Fill="1" applyBorder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Fill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right"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center" shrinkToFit="1" readingOrder="1"/>
      <protection hidden="1"/>
    </xf>
    <xf numFmtId="0" fontId="23" fillId="0" borderId="1" xfId="0" applyFont="1" applyFill="1" applyBorder="1" applyAlignment="1" applyProtection="1">
      <alignment horizontal="right" shrinkToFit="1" readingOrder="1"/>
      <protection hidden="1"/>
    </xf>
    <xf numFmtId="0" fontId="24" fillId="0" borderId="1" xfId="0" applyFont="1" applyFill="1" applyBorder="1" applyAlignment="1" applyProtection="1">
      <alignment horizontal="center" wrapText="1" shrinkToFit="1" readingOrder="1"/>
      <protection hidden="1"/>
    </xf>
    <xf numFmtId="0" fontId="23" fillId="0" borderId="1" xfId="0" applyFont="1" applyFill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Fill="1" applyBorder="1" applyAlignment="1" applyProtection="1">
      <alignment horizontal="left" vertical="center" shrinkToFit="1" readingOrder="1"/>
      <protection hidden="1"/>
    </xf>
    <xf numFmtId="44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Fill="1" applyBorder="1" applyAlignment="1" applyProtection="1">
      <alignment horizontal="left" vertical="center" shrinkToFit="1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Fill="1" applyBorder="1" applyAlignment="1" applyProtection="1">
      <alignment horizontal="center" vertical="center" shrinkToFit="1"/>
      <protection hidden="1"/>
    </xf>
    <xf numFmtId="0" fontId="22" fillId="0" borderId="0" xfId="0" applyFont="1" applyFill="1" applyBorder="1" applyAlignment="1" applyProtection="1">
      <alignment shrinkToFit="1" readingOrder="1"/>
      <protection hidden="1"/>
    </xf>
    <xf numFmtId="0" fontId="22" fillId="0" borderId="0" xfId="0" applyFont="1" applyFill="1" applyBorder="1" applyAlignment="1" applyProtection="1">
      <alignment horizontal="left" shrinkToFit="1" readingOrder="1"/>
      <protection hidden="1"/>
    </xf>
    <xf numFmtId="0" fontId="9" fillId="0" borderId="0" xfId="0" applyFont="1" applyFill="1" applyBorder="1" applyAlignment="1" applyProtection="1">
      <alignment horizont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0" fontId="6" fillId="0" borderId="0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Border="1" applyAlignment="1" applyProtection="1">
      <alignment horizontal="center" vertical="center" shrinkToFit="1" readingOrder="1"/>
      <protection hidden="1"/>
    </xf>
    <xf numFmtId="0" fontId="12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Border="1" applyAlignment="1" applyProtection="1">
      <alignment horizontal="center" vertic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Fill="1" applyBorder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Fill="1" applyBorder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shrinkToFit="1" readingOrder="1"/>
      <protection hidden="1"/>
    </xf>
    <xf numFmtId="0" fontId="46" fillId="0" borderId="1" xfId="0" applyFont="1" applyFill="1" applyBorder="1" applyAlignment="1" applyProtection="1">
      <alignment horizontal="center" wrapText="1" shrinkToFit="1" readingOrder="1"/>
      <protection hidden="1"/>
    </xf>
    <xf numFmtId="0" fontId="6" fillId="4" borderId="6" xfId="0" applyNumberFormat="1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vertical="center" shrinkToFit="1" readingOrder="1"/>
      <protection hidden="1"/>
    </xf>
    <xf numFmtId="0" fontId="24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Border="1" applyAlignment="1" applyProtection="1">
      <alignment horizontal="left" vertical="center" shrinkToFit="1"/>
      <protection hidden="1"/>
    </xf>
    <xf numFmtId="0" fontId="6" fillId="4" borderId="0" xfId="0" applyFont="1" applyFill="1" applyBorder="1" applyAlignment="1" applyProtection="1">
      <alignment vertical="center" shrinkToFit="1"/>
      <protection hidden="1"/>
    </xf>
    <xf numFmtId="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0" borderId="0" xfId="0" applyFont="1" applyFill="1" applyBorder="1" applyAlignment="1" applyProtection="1">
      <alignment horizontal="left" vertical="center" shrinkToFit="1"/>
      <protection hidden="1"/>
    </xf>
    <xf numFmtId="0" fontId="6" fillId="0" borderId="0" xfId="0" applyFont="1" applyFill="1" applyBorder="1" applyAlignment="1" applyProtection="1">
      <alignment vertical="center" shrinkToFit="1"/>
      <protection hidden="1"/>
    </xf>
    <xf numFmtId="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Fill="1" applyBorder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Fill="1" applyBorder="1" applyAlignment="1" applyProtection="1">
      <alignment horizontal="center" vertical="center" shrinkToFit="1"/>
      <protection hidden="1"/>
    </xf>
    <xf numFmtId="0" fontId="16" fillId="0" borderId="0" xfId="0" applyFont="1" applyFill="1" applyBorder="1" applyAlignment="1" applyProtection="1">
      <alignment horizontal="left" vertical="center" shrinkToFit="1" readingOrder="1"/>
      <protection hidden="1"/>
    </xf>
    <xf numFmtId="44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/>
      <protection hidden="1"/>
    </xf>
    <xf numFmtId="0" fontId="27" fillId="0" borderId="0" xfId="0" applyFont="1" applyBorder="1" applyAlignment="1" applyProtection="1">
      <alignment shrinkToFit="1"/>
      <protection hidden="1"/>
    </xf>
    <xf numFmtId="0" fontId="9" fillId="0" borderId="0" xfId="0" applyFont="1" applyBorder="1" applyAlignment="1" applyProtection="1">
      <alignment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Border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Border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40" fillId="0" borderId="0" xfId="0" applyFont="1" applyAlignment="1" applyProtection="1">
      <alignment vertical="center" shrinkToFit="1"/>
      <protection hidden="1"/>
    </xf>
    <xf numFmtId="0" fontId="17" fillId="0" borderId="0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Fill="1" applyAlignment="1" applyProtection="1">
      <alignment vertical="center" shrinkToFit="1"/>
      <protection hidden="1"/>
    </xf>
    <xf numFmtId="0" fontId="25" fillId="0" borderId="0" xfId="0" applyFont="1" applyFill="1" applyAlignment="1" applyProtection="1">
      <alignment horizontal="center" vertical="center" shrinkToFit="1"/>
      <protection hidden="1"/>
    </xf>
    <xf numFmtId="0" fontId="6" fillId="4" borderId="0" xfId="0" applyFont="1" applyFill="1" applyBorder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Alignment="1" applyProtection="1">
      <alignment horizontal="right" vertical="center" shrinkToFit="1"/>
      <protection hidden="1"/>
    </xf>
    <xf numFmtId="164" fontId="3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6" fillId="0" borderId="0" xfId="0" applyFont="1" applyFill="1" applyBorder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Border="1" applyAlignment="1" applyProtection="1">
      <alignment shrinkToFit="1"/>
      <protection hidden="1"/>
    </xf>
    <xf numFmtId="0" fontId="29" fillId="0" borderId="0" xfId="0" applyFont="1" applyBorder="1" applyAlignment="1" applyProtection="1">
      <alignment vertical="center" shrinkToFit="1"/>
      <protection hidden="1"/>
    </xf>
    <xf numFmtId="0" fontId="9" fillId="4" borderId="0" xfId="0" applyFont="1" applyFill="1" applyBorder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shrinkToFit="1" readingOrder="1"/>
      <protection hidden="1"/>
    </xf>
    <xf numFmtId="0" fontId="13" fillId="4" borderId="0" xfId="0" applyFont="1" applyFill="1" applyBorder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Border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Fill="1" applyAlignment="1" applyProtection="1">
      <alignment vertical="center" shrinkToFit="1"/>
      <protection hidden="1"/>
    </xf>
    <xf numFmtId="0" fontId="47" fillId="0" borderId="0" xfId="0" applyFont="1" applyFill="1" applyBorder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vertical="center" shrinkToFit="1"/>
      <protection hidden="1"/>
    </xf>
    <xf numFmtId="44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shrinkToFit="1"/>
      <protection hidden="1"/>
    </xf>
    <xf numFmtId="0" fontId="47" fillId="0" borderId="0" xfId="0" applyFont="1" applyFill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horizontal="right" vertical="center" shrinkToFit="1"/>
      <protection hidden="1"/>
    </xf>
    <xf numFmtId="0" fontId="47" fillId="0" borderId="0" xfId="0" applyFont="1" applyFill="1" applyBorder="1" applyAlignment="1" applyProtection="1">
      <alignment horizontal="right" vertical="center" shrinkToFit="1"/>
      <protection hidden="1"/>
    </xf>
    <xf numFmtId="0" fontId="9" fillId="0" borderId="0" xfId="0" applyFont="1" applyFill="1" applyBorder="1" applyAlignment="1" applyProtection="1">
      <alignment vertical="center" shrinkToFit="1"/>
      <protection hidden="1"/>
    </xf>
    <xf numFmtId="0" fontId="22" fillId="0" borderId="0" xfId="0" applyFont="1" applyFill="1" applyBorder="1" applyAlignment="1" applyProtection="1">
      <alignment vertical="center" readingOrder="1"/>
      <protection hidden="1"/>
    </xf>
    <xf numFmtId="0" fontId="6" fillId="0" borderId="6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ont="1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Fill="1" applyBorder="1" applyAlignment="1" applyProtection="1">
      <alignment horizontal="left" indent="1" readingOrder="1"/>
      <protection hidden="1"/>
    </xf>
    <xf numFmtId="0" fontId="17" fillId="0" borderId="0" xfId="0" applyFont="1" applyBorder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Border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0" fontId="31" fillId="2" borderId="0" xfId="0" applyFont="1" applyFill="1" applyBorder="1" applyAlignment="1" applyProtection="1">
      <alignment horizontal="left" vertical="center" indent="1" readingOrder="1"/>
      <protection hidden="1"/>
    </xf>
    <xf numFmtId="0" fontId="4" fillId="2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indent="1" readingOrder="1"/>
      <protection hidden="1"/>
    </xf>
    <xf numFmtId="0" fontId="45" fillId="4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Fill="1" applyBorder="1" applyAlignment="1" applyProtection="1">
      <alignment horizontal="left" vertical="center" indent="1" readingOrder="1"/>
      <protection hidden="1"/>
    </xf>
    <xf numFmtId="0" fontId="37" fillId="0" borderId="6" xfId="0" applyFont="1" applyFill="1" applyBorder="1" applyAlignment="1" applyProtection="1">
      <alignment horizontal="left" vertical="center" indent="1" readingOrder="1"/>
      <protection hidden="1"/>
    </xf>
    <xf numFmtId="0" fontId="37" fillId="0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Border="1" applyAlignment="1" applyProtection="1">
      <alignment horizontal="left" vertical="center" indent="1" readingOrder="1"/>
      <protection hidden="1"/>
    </xf>
    <xf numFmtId="0" fontId="12" fillId="0" borderId="0" xfId="0" applyFont="1" applyFill="1" applyBorder="1" applyAlignment="1" applyProtection="1">
      <alignment horizontal="left" vertical="center" indent="1" readingOrder="1"/>
      <protection hidden="1"/>
    </xf>
    <xf numFmtId="0" fontId="22" fillId="0" borderId="0" xfId="0" applyFont="1" applyFill="1" applyBorder="1" applyAlignment="1" applyProtection="1">
      <alignment horizontal="left" vertical="center" indent="1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14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 applyBorder="1" applyProtection="1"/>
    <xf numFmtId="169" fontId="0" fillId="2" borderId="0" xfId="2" applyNumberFormat="1" applyFont="1" applyFill="1" applyBorder="1" applyProtection="1"/>
    <xf numFmtId="0" fontId="49" fillId="2" borderId="0" xfId="0" applyFont="1" applyFill="1" applyBorder="1" applyProtection="1"/>
    <xf numFmtId="0" fontId="0" fillId="2" borderId="6" xfId="0" applyFill="1" applyBorder="1" applyProtection="1"/>
    <xf numFmtId="0" fontId="0" fillId="2" borderId="6" xfId="0" applyFill="1" applyBorder="1" applyAlignment="1" applyProtection="1">
      <alignment horizontal="right"/>
    </xf>
    <xf numFmtId="0" fontId="49" fillId="2" borderId="6" xfId="0" applyFont="1" applyFill="1" applyBorder="1" applyProtection="1"/>
    <xf numFmtId="0" fontId="0" fillId="2" borderId="0" xfId="0" applyFill="1" applyProtection="1"/>
    <xf numFmtId="0" fontId="0" fillId="2" borderId="0" xfId="0" applyFill="1" applyBorder="1" applyAlignment="1" applyProtection="1">
      <alignment horizontal="right"/>
    </xf>
    <xf numFmtId="0" fontId="45" fillId="0" borderId="6" xfId="0" applyFont="1" applyFill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Border="1" applyAlignment="1" applyProtection="1">
      <alignment horizontal="left" vertical="center" indent="2" shrinkToFit="1"/>
      <protection hidden="1"/>
    </xf>
    <xf numFmtId="0" fontId="6" fillId="0" borderId="0" xfId="0" applyFont="1" applyFill="1" applyBorder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Fill="1" applyBorder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Border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 applyProtection="1">
      <alignment horizontal="right"/>
    </xf>
    <xf numFmtId="181" fontId="49" fillId="2" borderId="6" xfId="0" applyNumberFormat="1" applyFont="1" applyFill="1" applyBorder="1" applyAlignment="1" applyProtection="1">
      <alignment horizontal="right"/>
    </xf>
    <xf numFmtId="181" fontId="0" fillId="2" borderId="0" xfId="0" applyNumberFormat="1" applyFill="1" applyBorder="1" applyAlignment="1" applyProtection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protection hidden="1"/>
    </xf>
    <xf numFmtId="0" fontId="41" fillId="4" borderId="0" xfId="3" applyFont="1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Fill="1" applyBorder="1" applyAlignment="1" applyProtection="1">
      <alignment readingOrder="1"/>
      <protection hidden="1"/>
    </xf>
    <xf numFmtId="0" fontId="4" fillId="4" borderId="0" xfId="0" applyFont="1" applyFill="1" applyBorder="1" applyAlignment="1" applyProtection="1">
      <alignment vertical="center" readingOrder="1"/>
      <protection hidden="1"/>
    </xf>
    <xf numFmtId="0" fontId="4" fillId="0" borderId="0" xfId="0" applyFont="1" applyFill="1" applyBorder="1" applyAlignment="1" applyProtection="1">
      <alignment vertical="center" readingOrder="1"/>
      <protection hidden="1"/>
    </xf>
    <xf numFmtId="0" fontId="38" fillId="0" borderId="6" xfId="0" applyFont="1" applyFill="1" applyBorder="1" applyAlignment="1" applyProtection="1">
      <alignment vertical="center" readingOrder="1"/>
      <protection hidden="1"/>
    </xf>
    <xf numFmtId="0" fontId="38" fillId="0" borderId="0" xfId="0" applyFont="1" applyFill="1" applyBorder="1" applyAlignment="1" applyProtection="1">
      <alignment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0" fontId="6" fillId="0" borderId="0" xfId="0" applyFont="1" applyBorder="1" applyAlignment="1" applyProtection="1">
      <alignment vertical="center" readingOrder="1"/>
      <protection hidden="1"/>
    </xf>
    <xf numFmtId="0" fontId="12" fillId="0" borderId="0" xfId="0" applyFont="1" applyFill="1" applyBorder="1" applyAlignment="1" applyProtection="1">
      <alignment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14" fillId="0" borderId="0" xfId="0" applyFont="1" applyFill="1" applyBorder="1" applyAlignment="1" applyProtection="1">
      <alignment vertical="center" readingOrder="1"/>
      <protection hidden="1"/>
    </xf>
    <xf numFmtId="8" fontId="16" fillId="0" borderId="0" xfId="0" applyNumberFormat="1" applyFont="1" applyFill="1" applyBorder="1" applyAlignment="1" applyProtection="1">
      <alignment vertical="center" readingOrder="1"/>
      <protection hidden="1"/>
    </xf>
    <xf numFmtId="0" fontId="45" fillId="0" borderId="6" xfId="0" applyFont="1" applyFill="1" applyBorder="1" applyAlignment="1" applyProtection="1">
      <alignment vertical="center" readingOrder="1"/>
      <protection hidden="1"/>
    </xf>
    <xf numFmtId="0" fontId="16" fillId="0" borderId="0" xfId="0" applyFont="1" applyFill="1" applyBorder="1" applyAlignment="1" applyProtection="1">
      <alignment vertical="center" readingOrder="1"/>
      <protection hidden="1"/>
    </xf>
    <xf numFmtId="0" fontId="16" fillId="0" borderId="1" xfId="0" applyFont="1" applyFill="1" applyBorder="1" applyAlignment="1" applyProtection="1">
      <alignment vertical="center" readingOrder="1"/>
      <protection hidden="1"/>
    </xf>
    <xf numFmtId="0" fontId="16" fillId="4" borderId="0" xfId="0" applyFont="1" applyFill="1" applyBorder="1" applyAlignment="1" applyProtection="1">
      <alignment vertical="center" readingOrder="1"/>
      <protection hidden="1"/>
    </xf>
    <xf numFmtId="0" fontId="38" fillId="4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Fill="1" applyBorder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6" fillId="0" borderId="0" xfId="0" applyFont="1" applyBorder="1" applyAlignment="1" applyProtection="1">
      <alignment horizontal="right" vertical="center" readingOrder="1"/>
      <protection hidden="1"/>
    </xf>
    <xf numFmtId="0" fontId="4" fillId="0" borderId="0" xfId="0" applyFont="1" applyFill="1" applyBorder="1" applyAlignment="1" applyProtection="1">
      <alignment horizontal="right" vertical="center" readingOrder="1"/>
      <protection hidden="1"/>
    </xf>
    <xf numFmtId="0" fontId="31" fillId="0" borderId="0" xfId="0" applyFont="1" applyFill="1" applyBorder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Fill="1" applyBorder="1" applyAlignment="1" applyProtection="1">
      <alignment horizontal="center" vertical="center" readingOrder="1"/>
      <protection hidden="1"/>
    </xf>
    <xf numFmtId="0" fontId="37" fillId="0" borderId="6" xfId="0" applyFont="1" applyFill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Fill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Fill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47" fillId="0" borderId="0" xfId="0" applyFont="1" applyFill="1" applyAlignment="1" applyProtection="1">
      <alignment horizontal="right" vertical="center" indent="1" shrinkToFit="1"/>
      <protection hidden="1"/>
    </xf>
    <xf numFmtId="0" fontId="47" fillId="0" borderId="0" xfId="0" applyFont="1" applyFill="1" applyBorder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Border="1" applyAlignment="1" applyProtection="1">
      <alignment horizontal="left" vertical="center" indent="1" readingOrder="1"/>
      <protection hidden="1"/>
    </xf>
    <xf numFmtId="0" fontId="57" fillId="7" borderId="0" xfId="0" applyFont="1" applyFill="1" applyBorder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Border="1" applyAlignment="1" applyProtection="1">
      <alignment horizontal="left" vertical="center" indent="1" readingOrder="1"/>
      <protection hidden="1"/>
    </xf>
    <xf numFmtId="0" fontId="57" fillId="8" borderId="0" xfId="0" applyFont="1" applyFill="1" applyBorder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Fill="1" applyBorder="1" applyAlignment="1" applyProtection="1">
      <alignment horizontal="left" vertical="center" readingOrder="1"/>
      <protection hidden="1"/>
    </xf>
    <xf numFmtId="169" fontId="12" fillId="0" borderId="0" xfId="0" applyNumberFormat="1" applyFont="1" applyFill="1" applyBorder="1" applyAlignment="1" applyProtection="1">
      <alignment horizontal="center" vertical="center" readingOrder="1"/>
      <protection hidden="1"/>
    </xf>
    <xf numFmtId="169" fontId="23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20" fillId="0" borderId="0" xfId="0" applyFont="1" applyBorder="1" applyAlignment="1" applyProtection="1">
      <alignment horizontal="left" vertical="center" indent="1" readingOrder="1"/>
      <protection hidden="1"/>
    </xf>
    <xf numFmtId="0" fontId="20" fillId="0" borderId="0" xfId="0" applyFont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3" fillId="4" borderId="0" xfId="3" applyFont="1" applyFill="1" applyAlignment="1" applyProtection="1">
      <alignment horizontal="left" vertical="top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Fill="1" applyAlignment="1" applyProtection="1">
      <alignment horizontal="left" vertical="center" indent="1"/>
      <protection hidden="1"/>
    </xf>
    <xf numFmtId="0" fontId="16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Border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Border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Fill="1" applyAlignment="1" applyProtection="1">
      <alignment horizontal="left" vertical="center" indent="1"/>
      <protection hidden="1"/>
    </xf>
    <xf numFmtId="0" fontId="47" fillId="0" borderId="0" xfId="0" applyFont="1" applyFill="1" applyBorder="1" applyAlignment="1" applyProtection="1">
      <alignment horizontal="left" vertical="center" indent="1"/>
      <protection hidden="1"/>
    </xf>
    <xf numFmtId="0" fontId="9" fillId="0" borderId="0" xfId="0" applyFont="1" applyFill="1" applyAlignment="1" applyProtection="1">
      <alignment horizontal="left" vertical="center" indent="1"/>
      <protection hidden="1"/>
    </xf>
    <xf numFmtId="0" fontId="6" fillId="0" borderId="0" xfId="0" applyFont="1" applyFill="1" applyBorder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Fill="1" applyBorder="1" applyAlignment="1" applyProtection="1">
      <alignment horizontal="left" vertical="top" indent="1" readingOrder="1"/>
      <protection hidden="1"/>
    </xf>
    <xf numFmtId="0" fontId="22" fillId="2" borderId="0" xfId="0" applyFont="1" applyFill="1" applyBorder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Border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9" fillId="0" borderId="0" xfId="0" applyFont="1" applyBorder="1" applyAlignment="1" applyProtection="1">
      <alignment horizontal="left" vertical="center"/>
      <protection hidden="1"/>
    </xf>
    <xf numFmtId="0" fontId="9" fillId="0" borderId="0" xfId="0" applyFont="1" applyBorder="1" applyAlignment="1" applyProtection="1">
      <alignment vertical="center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Border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Border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Fill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0" fontId="4" fillId="0" borderId="7" xfId="0" applyFont="1" applyFill="1" applyBorder="1" applyAlignment="1" applyProtection="1">
      <alignment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right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7" xfId="0" applyFont="1" applyBorder="1" applyAlignment="1" applyProtection="1">
      <alignment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0" fontId="7" fillId="0" borderId="7" xfId="0" applyFont="1" applyBorder="1" applyAlignment="1" applyProtection="1">
      <alignment vertical="center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Fill="1" applyBorder="1" applyAlignment="1" applyProtection="1">
      <alignment horizontal="center"/>
      <protection hidden="1"/>
    </xf>
    <xf numFmtId="0" fontId="9" fillId="0" borderId="0" xfId="0" applyFont="1" applyAlignment="1" applyProtection="1">
      <protection hidden="1"/>
    </xf>
    <xf numFmtId="0" fontId="9" fillId="0" borderId="7" xfId="0" applyFont="1" applyBorder="1" applyAlignment="1" applyProtection="1">
      <protection hidden="1"/>
    </xf>
    <xf numFmtId="6" fontId="6" fillId="0" borderId="0" xfId="0" applyNumberFormat="1" applyFont="1" applyAlignment="1" applyProtection="1">
      <protection hidden="1"/>
    </xf>
    <xf numFmtId="6" fontId="9" fillId="0" borderId="0" xfId="0" applyNumberFormat="1" applyFont="1" applyAlignment="1" applyProtection="1">
      <protection hidden="1"/>
    </xf>
    <xf numFmtId="0" fontId="9" fillId="0" borderId="7" xfId="0" applyFont="1" applyFill="1" applyBorder="1" applyAlignment="1" applyProtection="1">
      <alignment horizontal="right" vertical="center"/>
      <protection hidden="1"/>
    </xf>
    <xf numFmtId="0" fontId="23" fillId="0" borderId="1" xfId="0" applyFont="1" applyFill="1" applyBorder="1" applyAlignment="1" applyProtection="1">
      <alignment horizontal="center"/>
      <protection hidden="1"/>
    </xf>
    <xf numFmtId="0" fontId="24" fillId="0" borderId="1" xfId="0" applyFont="1" applyFill="1" applyBorder="1" applyAlignment="1" applyProtection="1">
      <alignment horizontal="center" wrapText="1" readingOrder="1"/>
      <protection hidden="1"/>
    </xf>
    <xf numFmtId="0" fontId="9" fillId="0" borderId="7" xfId="0" applyFont="1" applyBorder="1" applyAlignment="1" applyProtection="1">
      <alignment vertical="center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0" borderId="7" xfId="0" applyFont="1" applyBorder="1" applyAlignment="1" applyProtection="1">
      <alignment vertical="center"/>
      <protection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4" fillId="0" borderId="0" xfId="0" applyFont="1" applyBorder="1" applyAlignment="1" applyProtection="1">
      <alignment horizontal="left" vertical="center" readingOrder="1"/>
      <protection hidden="1"/>
    </xf>
    <xf numFmtId="0" fontId="37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37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38" fillId="0" borderId="0" xfId="0" applyFont="1" applyFill="1" applyBorder="1" applyAlignment="1" applyProtection="1">
      <alignment horizontal="center" vertical="center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6" fontId="37" fillId="0" borderId="0" xfId="0" applyNumberFormat="1" applyFont="1" applyFill="1" applyBorder="1" applyAlignment="1" applyProtection="1">
      <alignment horizontal="right" vertical="center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Fill="1" applyAlignment="1" applyProtection="1">
      <alignment vertical="top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9" fillId="0" borderId="7" xfId="0" applyFont="1" applyBorder="1" applyAlignment="1" applyProtection="1">
      <alignment vertical="top"/>
      <protection hidden="1"/>
    </xf>
    <xf numFmtId="0" fontId="25" fillId="0" borderId="1" xfId="0" applyFont="1" applyBorder="1" applyAlignment="1" applyProtection="1">
      <protection hidden="1"/>
    </xf>
    <xf numFmtId="0" fontId="25" fillId="0" borderId="0" xfId="0" applyFont="1" applyAlignment="1" applyProtection="1">
      <protection hidden="1"/>
    </xf>
    <xf numFmtId="0" fontId="25" fillId="0" borderId="7" xfId="0" applyFont="1" applyBorder="1" applyAlignment="1" applyProtection="1">
      <alignment vertical="center"/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0" fontId="9" fillId="0" borderId="0" xfId="0" applyFont="1" applyFill="1" applyBorder="1" applyAlignment="1" applyProtection="1">
      <alignment horizontal="left"/>
      <protection hidden="1"/>
    </xf>
    <xf numFmtId="168" fontId="34" fillId="0" borderId="0" xfId="0" applyNumberFormat="1" applyFont="1" applyFill="1" applyBorder="1" applyAlignment="1" applyProtection="1">
      <alignment horizontal="left" readingOrder="1"/>
      <protection hidden="1"/>
    </xf>
    <xf numFmtId="0" fontId="9" fillId="0" borderId="7" xfId="0" applyFont="1" applyBorder="1" applyAlignment="1" applyProtection="1">
      <alignment horizontal="left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Alignment="1" applyProtection="1">
      <protection hidden="1"/>
    </xf>
    <xf numFmtId="0" fontId="26" fillId="0" borderId="0" xfId="0" applyFont="1" applyAlignment="1" applyProtection="1">
      <protection hidden="1"/>
    </xf>
    <xf numFmtId="0" fontId="26" fillId="0" borderId="7" xfId="0" applyFont="1" applyBorder="1" applyAlignment="1" applyProtection="1">
      <protection hidden="1"/>
    </xf>
    <xf numFmtId="8" fontId="27" fillId="0" borderId="0" xfId="0" applyNumberFormat="1" applyFont="1" applyAlignment="1" applyProtection="1">
      <protection hidden="1"/>
    </xf>
    <xf numFmtId="6" fontId="27" fillId="0" borderId="0" xfId="0" applyNumberFormat="1" applyFont="1" applyAlignme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protection hidden="1"/>
    </xf>
    <xf numFmtId="0" fontId="24" fillId="0" borderId="1" xfId="0" applyFont="1" applyFill="1" applyBorder="1" applyAlignment="1" applyProtection="1">
      <alignment horizontal="center" vertical="center" readingOrder="1"/>
      <protection hidden="1"/>
    </xf>
    <xf numFmtId="0" fontId="26" fillId="0" borderId="7" xfId="0" applyFont="1" applyBorder="1" applyAlignment="1" applyProtection="1">
      <alignment vertical="center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0" xfId="0" applyFont="1" applyFill="1" applyBorder="1" applyAlignment="1" applyProtection="1">
      <alignment horizontal="left" vertical="center"/>
      <protection hidden="1"/>
    </xf>
    <xf numFmtId="6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NumberFormat="1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0" borderId="0" xfId="0" applyFont="1" applyFill="1" applyBorder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16" fillId="0" borderId="0" xfId="0" applyFont="1" applyFill="1" applyBorder="1" applyAlignment="1" applyProtection="1">
      <alignment horizontal="center" vertical="center" readingOrder="1"/>
      <protection hidden="1"/>
    </xf>
    <xf numFmtId="6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7" xfId="0" applyFont="1" applyBorder="1" applyAlignment="1" applyProtection="1">
      <alignment vertical="top" readingOrder="1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Border="1" applyAlignment="1" applyProtection="1">
      <alignment horizontal="center" vertical="center" readingOrder="1"/>
      <protection hidden="1"/>
    </xf>
    <xf numFmtId="0" fontId="23" fillId="0" borderId="0" xfId="0" applyFont="1" applyFill="1" applyBorder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Fill="1" applyBorder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Fill="1" applyBorder="1" applyAlignment="1" applyProtection="1">
      <alignment horizontal="center" vertical="center"/>
      <protection hidden="1"/>
    </xf>
    <xf numFmtId="44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Fill="1" applyBorder="1" applyAlignment="1" applyProtection="1">
      <alignment horizontal="center" vertical="center"/>
      <protection hidden="1"/>
    </xf>
    <xf numFmtId="0" fontId="27" fillId="0" borderId="7" xfId="0" applyFont="1" applyBorder="1" applyAlignment="1" applyProtection="1">
      <alignment vertical="center"/>
      <protection hidden="1"/>
    </xf>
    <xf numFmtId="0" fontId="27" fillId="0" borderId="0" xfId="0" applyFont="1" applyBorder="1" applyAlignment="1" applyProtection="1">
      <protection hidden="1"/>
    </xf>
    <xf numFmtId="8" fontId="6" fillId="4" borderId="0" xfId="0" applyNumberFormat="1" applyFont="1" applyFill="1" applyBorder="1" applyAlignment="1" applyProtection="1">
      <alignment vertical="center" readingOrder="1"/>
      <protection hidden="1"/>
    </xf>
    <xf numFmtId="0" fontId="20" fillId="0" borderId="0" xfId="0" applyFont="1" applyFill="1" applyBorder="1" applyAlignment="1" applyProtection="1">
      <alignment vertical="center" readingOrder="1"/>
      <protection hidden="1"/>
    </xf>
    <xf numFmtId="8" fontId="6" fillId="0" borderId="0" xfId="0" applyNumberFormat="1" applyFont="1" applyFill="1" applyBorder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Border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0" fontId="40" fillId="0" borderId="7" xfId="0" applyFont="1" applyBorder="1" applyAlignment="1" applyProtection="1">
      <alignment vertical="center"/>
      <protection hidden="1"/>
    </xf>
    <xf numFmtId="0" fontId="9" fillId="0" borderId="1" xfId="0" applyFont="1" applyBorder="1" applyAlignment="1" applyProtection="1">
      <alignment vertical="center"/>
      <protection hidden="1"/>
    </xf>
    <xf numFmtId="0" fontId="17" fillId="0" borderId="7" xfId="0" applyFont="1" applyBorder="1" applyAlignment="1" applyProtection="1">
      <alignment horizontal="left"/>
      <protection hidden="1"/>
    </xf>
    <xf numFmtId="0" fontId="18" fillId="0" borderId="7" xfId="0" applyFont="1" applyBorder="1" applyAlignment="1" applyProtection="1">
      <alignment horizontal="left"/>
      <protection hidden="1"/>
    </xf>
    <xf numFmtId="164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Fill="1" applyBorder="1" applyAlignment="1" applyProtection="1">
      <alignment horizontal="left" vertical="center" readingOrder="1"/>
      <protection hidden="1"/>
    </xf>
    <xf numFmtId="44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center" vertical="center" readingOrder="1"/>
      <protection hidden="1"/>
    </xf>
    <xf numFmtId="0" fontId="16" fillId="0" borderId="1" xfId="0" applyFont="1" applyFill="1" applyBorder="1" applyAlignment="1" applyProtection="1">
      <alignment horizontal="center" vertical="center"/>
      <protection hidden="1"/>
    </xf>
    <xf numFmtId="6" fontId="16" fillId="0" borderId="1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8" xfId="0" applyFont="1" applyBorder="1" applyAlignment="1" applyProtection="1">
      <protection hidden="1"/>
    </xf>
    <xf numFmtId="44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Border="1" applyAlignment="1" applyProtection="1">
      <alignment horizontal="center" vertical="center" readingOrder="1"/>
      <protection hidden="1"/>
    </xf>
    <xf numFmtId="0" fontId="16" fillId="4" borderId="0" xfId="0" applyFont="1" applyFill="1" applyBorder="1" applyAlignment="1" applyProtection="1">
      <alignment horizontal="center" vertical="center"/>
      <protection hidden="1"/>
    </xf>
    <xf numFmtId="6" fontId="1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Border="1" applyAlignment="1" applyProtection="1">
      <protection hidden="1"/>
    </xf>
    <xf numFmtId="0" fontId="29" fillId="0" borderId="0" xfId="0" applyFont="1" applyBorder="1" applyAlignment="1" applyProtection="1">
      <alignment vertical="center"/>
      <protection hidden="1"/>
    </xf>
    <xf numFmtId="0" fontId="9" fillId="4" borderId="0" xfId="0" applyFont="1" applyFill="1" applyBorder="1" applyAlignment="1" applyProtection="1">
      <alignment vertical="center"/>
      <protection hidden="1"/>
    </xf>
    <xf numFmtId="0" fontId="13" fillId="4" borderId="0" xfId="0" applyFont="1" applyFill="1" applyBorder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Border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7" xfId="0" applyFont="1" applyBorder="1" applyAlignment="1" applyProtection="1">
      <alignment vertical="center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Border="1" applyAlignment="1" applyProtection="1">
      <protection hidden="1"/>
    </xf>
    <xf numFmtId="44" fontId="38" fillId="4" borderId="0" xfId="2" applyNumberFormat="1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7" xfId="0" applyFont="1" applyBorder="1" applyAlignment="1" applyProtection="1">
      <protection hidden="1"/>
    </xf>
    <xf numFmtId="0" fontId="48" fillId="0" borderId="0" xfId="0" applyFont="1" applyAlignment="1" applyProtection="1">
      <protection hidden="1"/>
    </xf>
    <xf numFmtId="44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44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center" vertical="center" readingOrder="1"/>
      <protection hidden="1"/>
    </xf>
    <xf numFmtId="0" fontId="47" fillId="0" borderId="0" xfId="0" applyFont="1" applyFill="1" applyAlignment="1" applyProtection="1">
      <protection hidden="1"/>
    </xf>
    <xf numFmtId="0" fontId="47" fillId="0" borderId="0" xfId="0" applyFont="1" applyFill="1" applyAlignment="1" applyProtection="1">
      <alignment horizontal="right" vertical="center"/>
      <protection hidden="1"/>
    </xf>
    <xf numFmtId="0" fontId="47" fillId="0" borderId="0" xfId="0" applyFont="1" applyFill="1" applyBorder="1" applyAlignment="1" applyProtection="1">
      <alignment horizontal="right" vertical="center"/>
      <protection hidden="1"/>
    </xf>
    <xf numFmtId="0" fontId="9" fillId="0" borderId="0" xfId="0" applyFont="1" applyFill="1" applyAlignment="1" applyProtection="1">
      <alignment horizontal="right" vertical="center"/>
      <protection hidden="1"/>
    </xf>
    <xf numFmtId="0" fontId="9" fillId="0" borderId="0" xfId="0" applyFont="1" applyFill="1" applyBorder="1" applyAlignment="1" applyProtection="1">
      <alignment vertical="center"/>
      <protection hidden="1"/>
    </xf>
    <xf numFmtId="16" fontId="20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9" fillId="0" borderId="0" xfId="0" applyFont="1" applyBorder="1" applyAlignment="1" applyProtection="1">
      <alignment horizontal="left" vertical="center" indent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0" fontId="55" fillId="0" borderId="7" xfId="0" applyFont="1" applyBorder="1" applyAlignment="1" applyProtection="1">
      <alignment horizontal="left" vertical="center" indent="5"/>
      <protection hidden="1"/>
    </xf>
    <xf numFmtId="0" fontId="64" fillId="0" borderId="7" xfId="0" applyFont="1" applyBorder="1" applyAlignment="1" applyProtection="1">
      <alignment horizontal="left" vertical="center" indent="5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Fill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Fill="1" applyBorder="1" applyAlignment="1" applyProtection="1">
      <alignment horizontal="right" indent="1" readingOrder="1"/>
      <protection hidden="1"/>
    </xf>
    <xf numFmtId="0" fontId="9" fillId="0" borderId="0" xfId="0" applyFont="1" applyFill="1" applyAlignment="1" applyProtection="1">
      <alignment horizontal="right" vertical="center" indent="1"/>
      <protection hidden="1"/>
    </xf>
    <xf numFmtId="0" fontId="23" fillId="0" borderId="1" xfId="0" applyFont="1" applyFill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Fill="1" applyBorder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Fill="1" applyBorder="1" applyAlignment="1" applyProtection="1">
      <alignment horizontal="right" vertical="center" indent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16" fillId="0" borderId="0" xfId="0" applyFont="1" applyFill="1" applyBorder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Fill="1" applyBorder="1" applyAlignment="1" applyProtection="1">
      <alignment horizontal="right" vertical="center" indent="1"/>
      <protection hidden="1"/>
    </xf>
    <xf numFmtId="6" fontId="59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59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0" fontId="9" fillId="0" borderId="0" xfId="0" applyFont="1" applyBorder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Border="1" applyAlignment="1" applyProtection="1">
      <alignment horizontal="right" inden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47" fillId="0" borderId="0" xfId="0" applyFont="1" applyFill="1" applyBorder="1" applyAlignment="1" applyProtection="1">
      <alignment horizontal="right" vertical="center" indent="1"/>
      <protection hidden="1"/>
    </xf>
    <xf numFmtId="0" fontId="47" fillId="0" borderId="0" xfId="0" applyFont="1" applyFill="1" applyAlignment="1" applyProtection="1">
      <alignment horizontal="right" vertical="center" indent="1"/>
      <protection hidden="1"/>
    </xf>
    <xf numFmtId="0" fontId="55" fillId="0" borderId="7" xfId="0" applyFont="1" applyFill="1" applyBorder="1" applyAlignment="1" applyProtection="1">
      <alignment horizontal="left" vertical="center" indent="5" readingOrder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44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9" fillId="0" borderId="6" xfId="0" applyFont="1" applyFill="1" applyBorder="1" applyAlignment="1" applyProtection="1">
      <alignment horizontal="left" vertical="center" indent="1" readingOrder="1"/>
      <protection hidden="1"/>
    </xf>
    <xf numFmtId="0" fontId="69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NumberFormat="1" applyFont="1" applyFill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0" fontId="59" fillId="0" borderId="7" xfId="0" applyFont="1" applyBorder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Fill="1" applyBorder="1" applyAlignment="1" applyProtection="1">
      <alignment horizontal="center" vertical="top" readingOrder="1"/>
      <protection hidden="1"/>
    </xf>
    <xf numFmtId="0" fontId="6" fillId="0" borderId="7" xfId="0" applyFont="1" applyBorder="1" applyAlignment="1" applyProtection="1">
      <alignment vertical="top"/>
      <protection hidden="1"/>
    </xf>
    <xf numFmtId="6" fontId="16" fillId="0" borderId="0" xfId="0" applyNumberFormat="1" applyFont="1" applyFill="1" applyBorder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Fill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Border="1" applyAlignment="1" applyProtection="1">
      <alignment vertical="center" readingOrder="1"/>
      <protection hidden="1"/>
    </xf>
    <xf numFmtId="169" fontId="6" fillId="0" borderId="0" xfId="0" applyNumberFormat="1" applyFont="1" applyFill="1" applyBorder="1" applyAlignment="1" applyProtection="1">
      <alignment vertical="center" readingOrder="1"/>
      <protection hidden="1"/>
    </xf>
    <xf numFmtId="169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59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Fill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 applyAlignment="1" applyProtection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55" fillId="0" borderId="7" xfId="0" applyFont="1" applyBorder="1" applyAlignment="1" applyProtection="1">
      <alignment horizontal="left" vertical="center" indent="5"/>
    </xf>
    <xf numFmtId="0" fontId="17" fillId="0" borderId="7" xfId="0" applyFont="1" applyBorder="1" applyAlignment="1" applyProtection="1">
      <alignment horizontal="left" vertical="center"/>
    </xf>
    <xf numFmtId="0" fontId="69" fillId="0" borderId="6" xfId="0" applyNumberFormat="1" applyFont="1" applyFill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Border="1" applyAlignment="1" applyProtection="1">
      <alignment horizontal="left" vertical="center"/>
      <protection locked="0"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Fill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Fill="1" applyBorder="1" applyAlignment="1" applyProtection="1">
      <alignment horizontal="center" vertical="center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44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622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78"/>
      <c r="C4" s="1078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555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200</v>
      </c>
      <c r="C8" s="1016"/>
      <c r="D8" s="70" t="s">
        <v>201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202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72" t="s">
        <v>4</v>
      </c>
      <c r="C15" s="1072"/>
      <c r="D15" s="1072"/>
      <c r="E15" s="1072"/>
      <c r="F15" s="1072"/>
      <c r="G15" s="1072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72"/>
      <c r="C16" s="1072"/>
      <c r="D16" s="1072"/>
      <c r="E16" s="1072"/>
      <c r="F16" s="1072"/>
      <c r="G16" s="1072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72"/>
      <c r="C17" s="1072"/>
      <c r="D17" s="1072"/>
      <c r="E17" s="1072"/>
      <c r="F17" s="1072"/>
      <c r="G17" s="1072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408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75" t="s">
        <v>409</v>
      </c>
      <c r="C19" s="1075"/>
      <c r="D19" s="1075"/>
      <c r="E19" s="1075"/>
      <c r="F19" s="1075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2" t="s">
        <v>410</v>
      </c>
      <c r="C20" s="76"/>
      <c r="D20" s="76"/>
      <c r="E20" s="76"/>
      <c r="F20" s="1011"/>
      <c r="G20" s="754"/>
      <c r="H20" s="755"/>
      <c r="I20" s="754"/>
      <c r="J20" s="756"/>
      <c r="K20" s="951"/>
      <c r="L20" s="757"/>
      <c r="M20" s="758"/>
      <c r="S20" s="752"/>
      <c r="T20" s="752"/>
      <c r="U20" s="752"/>
      <c r="V20" s="752"/>
      <c r="W20" s="759"/>
      <c r="X20" s="9"/>
      <c r="Y20" s="752"/>
      <c r="Z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542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79" t="s">
        <v>660</v>
      </c>
      <c r="C24" s="1079"/>
      <c r="D24" s="1079"/>
      <c r="E24" s="1079"/>
      <c r="M24" s="765"/>
    </row>
    <row r="25" spans="2:26" s="718" customFormat="1" ht="25" customHeight="1">
      <c r="B25" s="478" t="s">
        <v>208</v>
      </c>
      <c r="C25" s="13" t="s">
        <v>10</v>
      </c>
      <c r="D25" s="13" t="s">
        <v>11</v>
      </c>
      <c r="E25" s="1015" t="s">
        <v>449</v>
      </c>
      <c r="F25" s="1015" t="s">
        <v>210</v>
      </c>
      <c r="G25" s="1015" t="s">
        <v>438</v>
      </c>
      <c r="H25" s="766"/>
      <c r="I25" s="767" t="s">
        <v>212</v>
      </c>
      <c r="J25" s="766"/>
      <c r="K25" s="954" t="s">
        <v>215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466</v>
      </c>
      <c r="C26" s="99">
        <v>2</v>
      </c>
      <c r="D26" s="99">
        <v>4</v>
      </c>
      <c r="E26" s="104">
        <v>100</v>
      </c>
      <c r="F26" s="770">
        <f t="shared" ref="F26:F37" si="0">G26/720</f>
        <v>0.66666666666666663</v>
      </c>
      <c r="G26" s="771">
        <f t="shared" ref="G26:G37" si="1">C26*IAAS_vcpu_SEK+D26*IAAS_ram_SEK+E26*IAAS_nvme_SEK</f>
        <v>480</v>
      </c>
      <c r="H26" s="772"/>
      <c r="I26" s="773"/>
      <c r="J26" s="772"/>
      <c r="K26" s="95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467</v>
      </c>
      <c r="C27" s="100">
        <v>2</v>
      </c>
      <c r="D27" s="100">
        <v>4</v>
      </c>
      <c r="E27" s="720">
        <v>500</v>
      </c>
      <c r="F27" s="775">
        <f t="shared" si="0"/>
        <v>1.2222222222222223</v>
      </c>
      <c r="G27" s="776">
        <f t="shared" si="1"/>
        <v>880</v>
      </c>
      <c r="H27" s="777"/>
      <c r="I27" s="773"/>
      <c r="J27" s="777"/>
      <c r="K27" s="95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468</v>
      </c>
      <c r="C28" s="99">
        <v>2</v>
      </c>
      <c r="D28" s="99">
        <v>4</v>
      </c>
      <c r="E28" s="104">
        <v>1000</v>
      </c>
      <c r="F28" s="770">
        <f t="shared" si="0"/>
        <v>1.9166666666666667</v>
      </c>
      <c r="G28" s="771">
        <f t="shared" si="1"/>
        <v>1380</v>
      </c>
      <c r="H28" s="772"/>
      <c r="I28" s="773"/>
      <c r="J28" s="772"/>
      <c r="K28" s="95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469</v>
      </c>
      <c r="C29" s="100">
        <v>4</v>
      </c>
      <c r="D29" s="100">
        <v>8</v>
      </c>
      <c r="E29" s="720">
        <v>100</v>
      </c>
      <c r="F29" s="775">
        <f t="shared" si="0"/>
        <v>1.1944444444444444</v>
      </c>
      <c r="G29" s="776">
        <f t="shared" si="1"/>
        <v>860</v>
      </c>
      <c r="H29" s="777"/>
      <c r="I29" s="773"/>
      <c r="J29" s="777"/>
      <c r="K29" s="956">
        <f t="shared" si="2"/>
        <v>0</v>
      </c>
      <c r="M29" s="774"/>
      <c r="P29" s="759"/>
      <c r="R29" s="759"/>
    </row>
    <row r="30" spans="2:26" s="752" customFormat="1" ht="25" customHeight="1">
      <c r="B30" s="484" t="s">
        <v>470</v>
      </c>
      <c r="C30" s="99">
        <v>4</v>
      </c>
      <c r="D30" s="99">
        <v>8</v>
      </c>
      <c r="E30" s="104">
        <v>500</v>
      </c>
      <c r="F30" s="770">
        <f t="shared" si="0"/>
        <v>1.75</v>
      </c>
      <c r="G30" s="771">
        <f t="shared" si="1"/>
        <v>1260</v>
      </c>
      <c r="H30" s="772"/>
      <c r="I30" s="773"/>
      <c r="J30" s="772"/>
      <c r="K30" s="955">
        <f t="shared" si="2"/>
        <v>0</v>
      </c>
      <c r="M30" s="774"/>
      <c r="P30" s="759"/>
      <c r="R30" s="759"/>
    </row>
    <row r="31" spans="2:26" s="752" customFormat="1" ht="25" customHeight="1">
      <c r="B31" s="485" t="s">
        <v>471</v>
      </c>
      <c r="C31" s="100">
        <v>4</v>
      </c>
      <c r="D31" s="100">
        <v>8</v>
      </c>
      <c r="E31" s="720">
        <v>1000</v>
      </c>
      <c r="F31" s="775">
        <f t="shared" si="0"/>
        <v>2.4444444444444446</v>
      </c>
      <c r="G31" s="776">
        <f t="shared" si="1"/>
        <v>1760</v>
      </c>
      <c r="H31" s="777"/>
      <c r="I31" s="773"/>
      <c r="J31" s="777"/>
      <c r="K31" s="95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472</v>
      </c>
      <c r="C32" s="99">
        <v>8</v>
      </c>
      <c r="D32" s="99">
        <v>16</v>
      </c>
      <c r="E32" s="104">
        <v>100</v>
      </c>
      <c r="F32" s="770">
        <f t="shared" si="0"/>
        <v>2.25</v>
      </c>
      <c r="G32" s="771">
        <f t="shared" si="1"/>
        <v>1620</v>
      </c>
      <c r="H32" s="772"/>
      <c r="I32" s="773"/>
      <c r="J32" s="772"/>
      <c r="K32" s="955">
        <f t="shared" si="2"/>
        <v>0</v>
      </c>
      <c r="M32" s="774"/>
      <c r="P32" s="759"/>
      <c r="R32" s="759"/>
    </row>
    <row r="33" spans="2:19" s="752" customFormat="1" ht="25" customHeight="1">
      <c r="B33" s="485" t="s">
        <v>473</v>
      </c>
      <c r="C33" s="100">
        <v>8</v>
      </c>
      <c r="D33" s="100">
        <v>16</v>
      </c>
      <c r="E33" s="720">
        <v>500</v>
      </c>
      <c r="F33" s="775">
        <f t="shared" si="0"/>
        <v>2.8055555555555554</v>
      </c>
      <c r="G33" s="776">
        <f t="shared" si="1"/>
        <v>2020</v>
      </c>
      <c r="H33" s="777"/>
      <c r="I33" s="773"/>
      <c r="J33" s="777"/>
      <c r="K33" s="956">
        <f t="shared" si="2"/>
        <v>0</v>
      </c>
      <c r="M33" s="774"/>
      <c r="P33" s="759"/>
      <c r="R33" s="759"/>
    </row>
    <row r="34" spans="2:19" s="752" customFormat="1" ht="25" customHeight="1">
      <c r="B34" s="484" t="s">
        <v>474</v>
      </c>
      <c r="C34" s="99">
        <v>8</v>
      </c>
      <c r="D34" s="99">
        <v>16</v>
      </c>
      <c r="E34" s="104">
        <v>1000</v>
      </c>
      <c r="F34" s="770">
        <f t="shared" si="0"/>
        <v>3.5</v>
      </c>
      <c r="G34" s="771">
        <f t="shared" si="1"/>
        <v>2520</v>
      </c>
      <c r="H34" s="772"/>
      <c r="I34" s="773"/>
      <c r="J34" s="772"/>
      <c r="K34" s="955">
        <f t="shared" si="2"/>
        <v>0</v>
      </c>
      <c r="M34" s="774"/>
      <c r="P34" s="759"/>
      <c r="R34" s="759"/>
    </row>
    <row r="35" spans="2:19" s="752" customFormat="1" ht="25" customHeight="1">
      <c r="B35" s="485" t="s">
        <v>475</v>
      </c>
      <c r="C35" s="100">
        <v>16</v>
      </c>
      <c r="D35" s="100">
        <v>32</v>
      </c>
      <c r="E35" s="720">
        <v>100</v>
      </c>
      <c r="F35" s="775">
        <f t="shared" si="0"/>
        <v>4.3611111111111107</v>
      </c>
      <c r="G35" s="776">
        <f t="shared" si="1"/>
        <v>3140</v>
      </c>
      <c r="H35" s="777"/>
      <c r="I35" s="773"/>
      <c r="J35" s="777"/>
      <c r="K35" s="956">
        <f t="shared" si="2"/>
        <v>0</v>
      </c>
      <c r="M35" s="774"/>
      <c r="P35" s="759"/>
      <c r="R35" s="759"/>
    </row>
    <row r="36" spans="2:19" s="752" customFormat="1" ht="25" customHeight="1">
      <c r="B36" s="484" t="s">
        <v>476</v>
      </c>
      <c r="C36" s="99">
        <v>16</v>
      </c>
      <c r="D36" s="99">
        <v>32</v>
      </c>
      <c r="E36" s="104">
        <v>500</v>
      </c>
      <c r="F36" s="770">
        <f t="shared" si="0"/>
        <v>4.916666666666667</v>
      </c>
      <c r="G36" s="771">
        <f t="shared" si="1"/>
        <v>3540</v>
      </c>
      <c r="H36" s="772"/>
      <c r="I36" s="773"/>
      <c r="J36" s="772"/>
      <c r="K36" s="955">
        <f t="shared" si="2"/>
        <v>0</v>
      </c>
      <c r="M36" s="774"/>
      <c r="P36" s="759"/>
      <c r="R36" s="759"/>
    </row>
    <row r="37" spans="2:19" s="752" customFormat="1" ht="25" customHeight="1">
      <c r="B37" s="485" t="s">
        <v>477</v>
      </c>
      <c r="C37" s="100">
        <v>16</v>
      </c>
      <c r="D37" s="100">
        <v>32</v>
      </c>
      <c r="E37" s="720">
        <v>1000</v>
      </c>
      <c r="F37" s="775">
        <f t="shared" si="0"/>
        <v>5.6111111111111107</v>
      </c>
      <c r="G37" s="776">
        <f t="shared" si="1"/>
        <v>4040</v>
      </c>
      <c r="H37" s="777"/>
      <c r="I37" s="773"/>
      <c r="J37" s="777"/>
      <c r="K37" s="956">
        <f t="shared" si="2"/>
        <v>0</v>
      </c>
      <c r="M37" s="774"/>
      <c r="P37" s="759"/>
      <c r="R37" s="759"/>
    </row>
    <row r="38" spans="2:19" s="998" customFormat="1" ht="25" customHeight="1">
      <c r="B38" s="994" t="s">
        <v>222</v>
      </c>
      <c r="C38" s="995" t="str" cm="1">
        <f t="array" ref="C38">SUM(C26:C37*I26:I37)&amp;" st"</f>
        <v>0 st</v>
      </c>
      <c r="D38" s="995" t="str" cm="1">
        <f t="array" ref="D38">SUM(D26:D37*I26:I37)&amp;" GB"</f>
        <v>0 GB</v>
      </c>
      <c r="E38" s="996" t="str" cm="1">
        <f t="array" ref="E38">SUM(E26:E37*I26:I37)&amp;" GB"</f>
        <v>0 GB</v>
      </c>
      <c r="F38" s="995"/>
      <c r="G38" s="995"/>
      <c r="H38" s="995"/>
      <c r="I38" s="995" t="str">
        <f>SUM(I26:I37)&amp;" st"</f>
        <v>0 st</v>
      </c>
      <c r="J38" s="995"/>
      <c r="K38" s="997">
        <f>SUM(K26:K37)</f>
        <v>0</v>
      </c>
      <c r="M38" s="999"/>
      <c r="P38" s="1000"/>
      <c r="R38" s="1000"/>
    </row>
    <row r="39" spans="2:19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9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9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9" s="718" customFormat="1" ht="25" customHeight="1">
      <c r="B42" s="719" t="s">
        <v>450</v>
      </c>
      <c r="C42" s="717"/>
      <c r="D42" s="717"/>
      <c r="I42" s="788"/>
      <c r="J42" s="788"/>
      <c r="K42" s="959"/>
      <c r="M42" s="790"/>
    </row>
    <row r="43" spans="2:19" ht="25" customHeight="1">
      <c r="B43" s="1079" t="s">
        <v>660</v>
      </c>
      <c r="C43" s="1079"/>
      <c r="D43" s="1079"/>
      <c r="E43" s="1079"/>
      <c r="M43" s="765"/>
    </row>
    <row r="44" spans="2:19" s="792" customFormat="1" ht="25" customHeight="1">
      <c r="B44" s="478" t="s">
        <v>208</v>
      </c>
      <c r="C44" s="13" t="s">
        <v>10</v>
      </c>
      <c r="D44" s="13" t="s">
        <v>11</v>
      </c>
      <c r="E44" s="1020" t="s">
        <v>449</v>
      </c>
      <c r="F44" s="14" t="s">
        <v>210</v>
      </c>
      <c r="G44" s="1015" t="s">
        <v>438</v>
      </c>
      <c r="H44" s="791"/>
      <c r="I44" s="767" t="s">
        <v>212</v>
      </c>
      <c r="J44" s="766"/>
      <c r="K44" s="954" t="s">
        <v>215</v>
      </c>
      <c r="M44" s="793"/>
      <c r="O44" s="15"/>
      <c r="P44" s="794"/>
      <c r="Q44" s="794"/>
      <c r="R44" s="794"/>
      <c r="S44" s="15"/>
    </row>
    <row r="45" spans="2:19" s="752" customFormat="1" ht="25" customHeight="1">
      <c r="B45" s="484" t="s">
        <v>478</v>
      </c>
      <c r="C45" s="99">
        <v>1</v>
      </c>
      <c r="D45" s="99">
        <v>2</v>
      </c>
      <c r="E45" s="724">
        <v>0</v>
      </c>
      <c r="F45" s="770">
        <f t="shared" ref="F45:F54" si="3">G45/720</f>
        <v>0.2638888888888889</v>
      </c>
      <c r="G45" s="771">
        <f t="shared" ref="G45:G54" si="4">C45*IAAS_vcpu_SEK+D45*IAAS_ram_SEK+E45*IAAS_ssd_SEK</f>
        <v>190</v>
      </c>
      <c r="H45" s="772"/>
      <c r="I45" s="773"/>
      <c r="J45" s="772"/>
      <c r="K45" s="955">
        <f t="shared" ref="K45:K54" si="5">ROUNDUP(I45*G45,2)</f>
        <v>0</v>
      </c>
      <c r="M45" s="774"/>
      <c r="N45" s="795"/>
      <c r="O45" s="796"/>
    </row>
    <row r="46" spans="2:19" s="752" customFormat="1" ht="25" customHeight="1">
      <c r="B46" s="485" t="s">
        <v>479</v>
      </c>
      <c r="C46" s="100">
        <v>1</v>
      </c>
      <c r="D46" s="100">
        <v>4</v>
      </c>
      <c r="E46" s="725">
        <v>0</v>
      </c>
      <c r="F46" s="775">
        <f t="shared" si="3"/>
        <v>0.41666666666666669</v>
      </c>
      <c r="G46" s="776">
        <f t="shared" si="4"/>
        <v>300</v>
      </c>
      <c r="H46" s="777"/>
      <c r="I46" s="773"/>
      <c r="J46" s="777"/>
      <c r="K46" s="956">
        <f t="shared" si="5"/>
        <v>0</v>
      </c>
      <c r="L46" s="797"/>
      <c r="M46" s="774"/>
      <c r="N46" s="795"/>
      <c r="O46" s="796"/>
    </row>
    <row r="47" spans="2:19" s="752" customFormat="1" ht="25" customHeight="1">
      <c r="B47" s="484" t="s">
        <v>480</v>
      </c>
      <c r="C47" s="99">
        <v>2</v>
      </c>
      <c r="D47" s="99">
        <v>4</v>
      </c>
      <c r="E47" s="724">
        <v>0</v>
      </c>
      <c r="F47" s="770">
        <f t="shared" si="3"/>
        <v>0.52777777777777779</v>
      </c>
      <c r="G47" s="771">
        <f t="shared" si="4"/>
        <v>380</v>
      </c>
      <c r="H47" s="772"/>
      <c r="I47" s="773"/>
      <c r="J47" s="772"/>
      <c r="K47" s="955">
        <f t="shared" si="5"/>
        <v>0</v>
      </c>
      <c r="L47" s="797"/>
      <c r="M47" s="774"/>
      <c r="N47" s="795"/>
      <c r="O47" s="796"/>
    </row>
    <row r="48" spans="2:19" s="752" customFormat="1" ht="25" customHeight="1">
      <c r="B48" s="485" t="s">
        <v>481</v>
      </c>
      <c r="C48" s="100">
        <v>2</v>
      </c>
      <c r="D48" s="100">
        <v>8</v>
      </c>
      <c r="E48" s="725">
        <v>0</v>
      </c>
      <c r="F48" s="775">
        <f t="shared" si="3"/>
        <v>0.83333333333333337</v>
      </c>
      <c r="G48" s="776">
        <f t="shared" si="4"/>
        <v>600</v>
      </c>
      <c r="H48" s="777"/>
      <c r="I48" s="773"/>
      <c r="J48" s="777"/>
      <c r="K48" s="956">
        <f t="shared" si="5"/>
        <v>0</v>
      </c>
      <c r="L48" s="797"/>
      <c r="M48" s="774"/>
      <c r="N48" s="795"/>
      <c r="O48" s="1064"/>
    </row>
    <row r="49" spans="1:20" s="752" customFormat="1" ht="25" customHeight="1">
      <c r="B49" s="484" t="s">
        <v>482</v>
      </c>
      <c r="C49" s="99">
        <v>4</v>
      </c>
      <c r="D49" s="99">
        <v>8</v>
      </c>
      <c r="E49" s="724">
        <v>0</v>
      </c>
      <c r="F49" s="770">
        <f t="shared" si="3"/>
        <v>1.0555555555555556</v>
      </c>
      <c r="G49" s="771">
        <f t="shared" si="4"/>
        <v>760</v>
      </c>
      <c r="H49" s="772"/>
      <c r="I49" s="773"/>
      <c r="J49" s="772"/>
      <c r="K49" s="95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483</v>
      </c>
      <c r="C50" s="100">
        <v>4</v>
      </c>
      <c r="D50" s="100">
        <v>16</v>
      </c>
      <c r="E50" s="725">
        <v>0</v>
      </c>
      <c r="F50" s="775">
        <f t="shared" si="3"/>
        <v>1.6666666666666667</v>
      </c>
      <c r="G50" s="776">
        <f t="shared" si="4"/>
        <v>1200</v>
      </c>
      <c r="H50" s="777"/>
      <c r="I50" s="773"/>
      <c r="J50" s="777"/>
      <c r="K50" s="956">
        <f t="shared" si="5"/>
        <v>0</v>
      </c>
      <c r="L50" s="797"/>
      <c r="M50" s="774"/>
    </row>
    <row r="51" spans="1:20" s="752" customFormat="1" ht="25" customHeight="1">
      <c r="B51" s="484" t="s">
        <v>484</v>
      </c>
      <c r="C51" s="99">
        <v>8</v>
      </c>
      <c r="D51" s="99">
        <v>16</v>
      </c>
      <c r="E51" s="724">
        <v>0</v>
      </c>
      <c r="F51" s="770">
        <f t="shared" si="3"/>
        <v>2.1111111111111112</v>
      </c>
      <c r="G51" s="771">
        <f t="shared" si="4"/>
        <v>1520</v>
      </c>
      <c r="H51" s="772"/>
      <c r="I51" s="773"/>
      <c r="J51" s="772"/>
      <c r="K51" s="955">
        <f t="shared" si="5"/>
        <v>0</v>
      </c>
      <c r="L51" s="797"/>
      <c r="M51" s="774"/>
    </row>
    <row r="52" spans="1:20" s="752" customFormat="1" ht="25" customHeight="1">
      <c r="B52" s="485" t="s">
        <v>485</v>
      </c>
      <c r="C52" s="100">
        <v>8</v>
      </c>
      <c r="D52" s="100">
        <v>32</v>
      </c>
      <c r="E52" s="725">
        <v>0</v>
      </c>
      <c r="F52" s="775">
        <f t="shared" si="3"/>
        <v>3.3333333333333335</v>
      </c>
      <c r="G52" s="776">
        <f t="shared" si="4"/>
        <v>2400</v>
      </c>
      <c r="H52" s="777"/>
      <c r="I52" s="773"/>
      <c r="J52" s="777"/>
      <c r="K52" s="956">
        <f t="shared" si="5"/>
        <v>0</v>
      </c>
      <c r="L52" s="797"/>
      <c r="M52" s="774"/>
    </row>
    <row r="53" spans="1:20" s="752" customFormat="1" ht="25" customHeight="1">
      <c r="B53" s="484" t="s">
        <v>486</v>
      </c>
      <c r="C53" s="99">
        <v>16</v>
      </c>
      <c r="D53" s="99">
        <v>32</v>
      </c>
      <c r="E53" s="724">
        <v>0</v>
      </c>
      <c r="F53" s="770">
        <f t="shared" si="3"/>
        <v>4.2222222222222223</v>
      </c>
      <c r="G53" s="771">
        <f t="shared" si="4"/>
        <v>3040</v>
      </c>
      <c r="H53" s="772"/>
      <c r="I53" s="773"/>
      <c r="J53" s="772"/>
      <c r="K53" s="95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487</v>
      </c>
      <c r="C54" s="100">
        <v>16</v>
      </c>
      <c r="D54" s="100">
        <v>64</v>
      </c>
      <c r="E54" s="725">
        <v>0</v>
      </c>
      <c r="F54" s="775">
        <f t="shared" si="3"/>
        <v>6.666666666666667</v>
      </c>
      <c r="G54" s="776">
        <f t="shared" si="4"/>
        <v>4800</v>
      </c>
      <c r="H54" s="777"/>
      <c r="I54" s="773"/>
      <c r="J54" s="777"/>
      <c r="K54" s="95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222</v>
      </c>
      <c r="C55" s="995" t="str" cm="1">
        <f t="array" ref="C55">SUM(b2_list_vCPU*b2_list_Antal_instanser)&amp;" st"</f>
        <v>0 st</v>
      </c>
      <c r="D55" s="995" t="str" cm="1">
        <f t="array" ref="D55">SUM(b2_list_ram*b2_list_vCPU)&amp;" GB"</f>
        <v>0 GB</v>
      </c>
      <c r="E55" s="1001" t="s">
        <v>94</v>
      </c>
      <c r="F55" s="995"/>
      <c r="G55" s="995"/>
      <c r="H55" s="995"/>
      <c r="I55" s="995" t="str">
        <f>SUM(I45:I54)&amp;" st"</f>
        <v>0 st</v>
      </c>
      <c r="J55" s="995"/>
      <c r="K55" s="997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463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0" t="s">
        <v>661</v>
      </c>
      <c r="C58" s="1080"/>
      <c r="D58" s="1080"/>
      <c r="E58" s="1080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438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488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1" si="6">H60/720</f>
        <v>9.6527777777777786</v>
      </c>
      <c r="H60" s="771">
        <f>C60*IAAS_vcpu_SEK+D60*IAAS_ram_SEK+E60*IAAS_nvme_SEK+F60*IAAS_gpu_SEK</f>
        <v>6950</v>
      </c>
      <c r="I60" s="1063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489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3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490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ref="G62:G63" si="7">H62/720</f>
        <v>38.611111111111114</v>
      </c>
      <c r="H62" s="771">
        <f>C62*IAAS_vcpu_SEK+D62*IAAS_ram_SEK+E62*IAAS_nvme_SEK+F62*IAAS_gpu_SEK</f>
        <v>27800</v>
      </c>
      <c r="I62" s="1063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491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7"/>
        <v>60.555555555555557</v>
      </c>
      <c r="H63" s="776">
        <f>C63*IAAS_vcpu_SEK+D63*IAAS_ram_SEK+E63*IAAS_nvme_SEK+F63*IAAS_gpu_SEK</f>
        <v>43600</v>
      </c>
      <c r="I63" s="1063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400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0" t="s">
        <v>661</v>
      </c>
      <c r="C68" s="1080"/>
      <c r="D68" s="1080"/>
      <c r="E68" s="1080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438</v>
      </c>
      <c r="H69" s="766"/>
      <c r="I69" s="767" t="s">
        <v>367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464</v>
      </c>
      <c r="C70" s="91">
        <v>16</v>
      </c>
      <c r="D70" s="91">
        <v>128</v>
      </c>
      <c r="E70" s="96">
        <v>3800</v>
      </c>
      <c r="F70" s="815">
        <f t="shared" ref="F70:F72" si="8">G70/720</f>
        <v>9.5</v>
      </c>
      <c r="G70" s="816">
        <f>INSTANCE_p1.2xlarge.16d_SEK</f>
        <v>6840</v>
      </c>
      <c r="H70" s="16"/>
      <c r="I70" s="1063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492</v>
      </c>
      <c r="C71" s="92">
        <v>32</v>
      </c>
      <c r="D71" s="92">
        <v>256</v>
      </c>
      <c r="E71" s="94">
        <v>3800</v>
      </c>
      <c r="F71" s="817">
        <f t="shared" si="8"/>
        <v>19</v>
      </c>
      <c r="G71" s="98">
        <f>INSTANCE_p1.4xlarge.16d_SEK</f>
        <v>13680</v>
      </c>
      <c r="H71" s="18"/>
      <c r="I71" s="1063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465</v>
      </c>
      <c r="C72" s="93">
        <v>64</v>
      </c>
      <c r="D72" s="93">
        <v>512</v>
      </c>
      <c r="E72" s="95">
        <v>7600</v>
      </c>
      <c r="F72" s="818">
        <f t="shared" si="8"/>
        <v>38</v>
      </c>
      <c r="G72" s="816">
        <f>INSTANCE_p1.8xlarge.32d_SEK</f>
        <v>27360</v>
      </c>
      <c r="H72" s="16"/>
      <c r="I72" s="1063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453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551</v>
      </c>
      <c r="M77" s="765"/>
    </row>
    <row r="78" spans="2:20" s="822" customFormat="1" ht="25" customHeight="1">
      <c r="B78" s="478" t="s">
        <v>208</v>
      </c>
      <c r="C78" s="26" t="s">
        <v>220</v>
      </c>
      <c r="D78" s="26"/>
      <c r="E78" s="26"/>
      <c r="F78" s="1020" t="s">
        <v>210</v>
      </c>
      <c r="G78" s="1015" t="s">
        <v>438</v>
      </c>
      <c r="H78" s="26"/>
      <c r="I78" s="820" t="s">
        <v>66</v>
      </c>
      <c r="J78" s="26"/>
      <c r="K78" s="674" t="s">
        <v>537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493</v>
      </c>
      <c r="C79" s="41" t="s">
        <v>68</v>
      </c>
      <c r="D79" s="80"/>
      <c r="E79" s="80"/>
      <c r="F79" s="82">
        <f>G79/720</f>
        <v>1.6666666666666666E-3</v>
      </c>
      <c r="G79" s="992">
        <f>VOLUME_large_SEK</f>
        <v>1.2</v>
      </c>
      <c r="H79" s="825"/>
      <c r="I79" s="826"/>
      <c r="J79" s="827"/>
      <c r="K79" s="944">
        <f>ROUNDUP(I79*G79,2)</f>
        <v>0</v>
      </c>
      <c r="L79" s="9"/>
      <c r="M79" s="774"/>
    </row>
    <row r="80" spans="2:20" s="752" customFormat="1" ht="25" customHeight="1">
      <c r="B80" s="488" t="s">
        <v>494</v>
      </c>
      <c r="C80" s="43" t="s">
        <v>71</v>
      </c>
      <c r="D80" s="81"/>
      <c r="E80" s="81"/>
      <c r="F80" s="83">
        <f>G80/720</f>
        <v>5.0000000000000001E-3</v>
      </c>
      <c r="G80" s="993">
        <f>VOLUME_fast_SEK</f>
        <v>3.6</v>
      </c>
      <c r="H80" s="829"/>
      <c r="I80" s="831"/>
      <c r="J80" s="832"/>
      <c r="K80" s="945">
        <f>ROUNDUP(I80*G80,2)</f>
        <v>0</v>
      </c>
      <c r="L80" s="9"/>
      <c r="M80" s="774"/>
      <c r="T80" s="759"/>
    </row>
    <row r="81" spans="2:20" s="752" customFormat="1" ht="25" customHeight="1">
      <c r="B81" s="141" t="s">
        <v>495</v>
      </c>
      <c r="C81" s="41" t="s">
        <v>435</v>
      </c>
      <c r="D81" s="80"/>
      <c r="E81" s="80"/>
      <c r="F81" s="82">
        <f>G81/720</f>
        <v>1.6666666666666666E-3</v>
      </c>
      <c r="G81" s="992">
        <f>VOLUME_large_SEK</f>
        <v>1.2</v>
      </c>
      <c r="H81" s="833"/>
      <c r="I81" s="826"/>
      <c r="J81" s="827"/>
      <c r="K81" s="944">
        <f>ROUNDUP(I81*G81,2)</f>
        <v>0</v>
      </c>
      <c r="L81" s="9"/>
      <c r="M81" s="774"/>
    </row>
    <row r="82" spans="2:20" s="998" customFormat="1" ht="25" customHeight="1">
      <c r="B82" s="994" t="s">
        <v>222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997">
        <f>SUM(K79:K81)</f>
        <v>0</v>
      </c>
      <c r="M82" s="999"/>
      <c r="P82" s="1000"/>
      <c r="R82" s="1000"/>
    </row>
    <row r="83" spans="2:20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0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0" s="6" customFormat="1" ht="25" customHeight="1">
      <c r="B85" s="1072" t="s">
        <v>72</v>
      </c>
      <c r="C85" s="1072"/>
      <c r="D85" s="1072"/>
      <c r="E85" s="1072"/>
      <c r="F85" s="1072"/>
      <c r="G85" s="1072"/>
      <c r="H85" s="748"/>
      <c r="J85" s="749"/>
      <c r="K85" s="950"/>
      <c r="M85" s="751"/>
    </row>
    <row r="86" spans="2:20" s="6" customFormat="1" ht="25" customHeight="1">
      <c r="B86" s="1072"/>
      <c r="C86" s="1072"/>
      <c r="D86" s="1072"/>
      <c r="E86" s="1072"/>
      <c r="F86" s="1072"/>
      <c r="G86" s="1072"/>
      <c r="H86" s="748"/>
      <c r="J86" s="749"/>
      <c r="K86" s="950"/>
      <c r="M86" s="751"/>
    </row>
    <row r="87" spans="2:20" s="6" customFormat="1" ht="25" customHeight="1">
      <c r="B87" s="1072"/>
      <c r="C87" s="1072"/>
      <c r="D87" s="1072"/>
      <c r="E87" s="1072"/>
      <c r="F87" s="1072"/>
      <c r="G87" s="1072"/>
      <c r="H87" s="748"/>
      <c r="J87" s="749"/>
      <c r="K87" s="950"/>
      <c r="M87" s="751"/>
    </row>
    <row r="88" spans="2:20" s="6" customFormat="1" ht="25" customHeight="1">
      <c r="B88" s="1012" t="s">
        <v>552</v>
      </c>
      <c r="C88" s="1012"/>
      <c r="D88" s="1012"/>
      <c r="E88" s="1012"/>
      <c r="F88" s="1012"/>
      <c r="H88" s="748"/>
      <c r="J88" s="749"/>
      <c r="K88" s="950"/>
      <c r="M88" s="758"/>
    </row>
    <row r="89" spans="2:20" s="546" customFormat="1" ht="25" customHeight="1">
      <c r="B89" s="1013" t="s">
        <v>544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0" s="6" customFormat="1" ht="25" customHeight="1">
      <c r="B90" s="602" t="s">
        <v>410</v>
      </c>
      <c r="C90" s="76"/>
      <c r="D90" s="76"/>
      <c r="E90" s="76"/>
      <c r="F90" s="1011"/>
      <c r="G90" s="754"/>
      <c r="H90" s="755"/>
      <c r="I90" s="754"/>
      <c r="J90" s="756"/>
      <c r="K90" s="951"/>
      <c r="L90" s="842"/>
      <c r="M90" s="774"/>
      <c r="O90" s="752"/>
      <c r="P90" s="752"/>
    </row>
    <row r="91" spans="2:20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0" s="6" customFormat="1" ht="25" customHeight="1">
      <c r="B92" s="478" t="s">
        <v>208</v>
      </c>
      <c r="C92" s="12"/>
      <c r="D92" s="1015"/>
      <c r="E92" s="1015"/>
      <c r="F92" s="26"/>
      <c r="G92" s="1015" t="s">
        <v>543</v>
      </c>
      <c r="H92" s="26"/>
      <c r="I92" s="820" t="s">
        <v>224</v>
      </c>
      <c r="J92" s="1015"/>
      <c r="K92" s="674" t="s">
        <v>83</v>
      </c>
      <c r="L92" s="757"/>
      <c r="M92" s="774"/>
      <c r="N92" s="752"/>
    </row>
    <row r="93" spans="2:20" s="848" customFormat="1" ht="25" customHeight="1">
      <c r="B93" s="479" t="s">
        <v>538</v>
      </c>
      <c r="C93" s="80"/>
      <c r="D93" s="568"/>
      <c r="E93" s="568"/>
      <c r="F93" s="844"/>
      <c r="G93" s="843">
        <f>S3_archive.50_SEK</f>
        <v>350</v>
      </c>
      <c r="H93" s="844"/>
      <c r="I93" s="845"/>
      <c r="J93" s="846"/>
      <c r="K93" s="691">
        <f>I93*G93</f>
        <v>0</v>
      </c>
      <c r="L93" s="847"/>
      <c r="M93" s="774"/>
      <c r="N93" s="813"/>
    </row>
    <row r="94" spans="2:20" s="752" customFormat="1" ht="25" customHeight="1">
      <c r="B94" s="692" t="s">
        <v>496</v>
      </c>
      <c r="C94" s="43"/>
      <c r="D94" s="693"/>
      <c r="E94" s="693"/>
      <c r="F94" s="829"/>
      <c r="G94" s="715">
        <f>S3_storage50_SEK</f>
        <v>500</v>
      </c>
      <c r="H94" s="830"/>
      <c r="I94" s="849"/>
      <c r="J94" s="832"/>
      <c r="K94" s="945">
        <f>I94*G94</f>
        <v>0</v>
      </c>
      <c r="L94" s="9"/>
      <c r="M94" s="774"/>
      <c r="T94" s="759"/>
    </row>
    <row r="95" spans="2:20" s="998" customFormat="1" ht="25" customHeight="1">
      <c r="B95" s="994" t="s">
        <v>222</v>
      </c>
      <c r="C95" s="995"/>
      <c r="D95" s="995"/>
      <c r="E95" s="995"/>
      <c r="F95" s="995"/>
      <c r="G95" s="995"/>
      <c r="H95" s="995"/>
      <c r="I95" s="995"/>
      <c r="J95" s="995"/>
      <c r="K95" s="997">
        <f>SUM(K93:K94)</f>
        <v>0</v>
      </c>
      <c r="M95" s="999"/>
      <c r="P95" s="1000"/>
      <c r="R95" s="1000"/>
    </row>
    <row r="96" spans="2:20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19" s="798" customFormat="1" ht="25" hidden="1" customHeight="1">
      <c r="B97" s="447" t="s">
        <v>423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19" s="6" customFormat="1" ht="25" hidden="1" customHeight="1">
      <c r="B98" s="478" t="s">
        <v>208</v>
      </c>
      <c r="C98" s="12" t="s">
        <v>224</v>
      </c>
      <c r="D98" s="1077" t="s">
        <v>225</v>
      </c>
      <c r="E98" s="1077"/>
      <c r="F98" s="1077"/>
      <c r="G98" s="1077"/>
      <c r="H98" s="1077"/>
      <c r="I98" s="1077"/>
      <c r="J98" s="1015"/>
      <c r="K98" s="674"/>
      <c r="L98" s="757"/>
      <c r="M98" s="801"/>
      <c r="N98" s="752"/>
    </row>
    <row r="99" spans="2:19" s="848" customFormat="1" ht="25" hidden="1" customHeight="1">
      <c r="B99" s="506" t="s">
        <v>424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5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19" s="6" customFormat="1" ht="25" hidden="1" customHeight="1">
      <c r="B100" s="665" t="s">
        <v>424</v>
      </c>
      <c r="C100" s="666" t="s">
        <v>430</v>
      </c>
      <c r="D100" s="1076">
        <f>S3_archive.50_SEK</f>
        <v>350</v>
      </c>
      <c r="E100" s="1076"/>
      <c r="F100" s="1076"/>
      <c r="G100" s="1076"/>
      <c r="H100" s="1076"/>
      <c r="I100" s="1076"/>
      <c r="J100" s="1014"/>
      <c r="K100" s="967"/>
      <c r="L100" s="757"/>
      <c r="M100" s="812"/>
      <c r="N100" s="752"/>
    </row>
    <row r="101" spans="2:19" s="6" customFormat="1" ht="25" hidden="1" customHeight="1">
      <c r="B101" s="677" t="s">
        <v>424</v>
      </c>
      <c r="C101" s="678" t="s">
        <v>431</v>
      </c>
      <c r="D101" s="1081">
        <f>S3_archive.100_SEK</f>
        <v>270</v>
      </c>
      <c r="E101" s="1081"/>
      <c r="F101" s="1081"/>
      <c r="G101" s="1081"/>
      <c r="H101" s="1081"/>
      <c r="I101" s="1081"/>
      <c r="J101" s="1018"/>
      <c r="K101" s="968"/>
      <c r="L101" s="757"/>
      <c r="M101" s="774"/>
      <c r="N101" s="752"/>
    </row>
    <row r="102" spans="2:19" s="6" customFormat="1" ht="25" hidden="1" customHeight="1">
      <c r="B102" s="665" t="s">
        <v>424</v>
      </c>
      <c r="C102" s="666" t="s">
        <v>432</v>
      </c>
      <c r="D102" s="1083">
        <f>S3_archive.500_SEK</f>
        <v>200</v>
      </c>
      <c r="E102" s="1083"/>
      <c r="F102" s="1083"/>
      <c r="G102" s="1083"/>
      <c r="H102" s="1083"/>
      <c r="I102" s="1083"/>
      <c r="J102" s="1019"/>
      <c r="K102" s="969"/>
      <c r="L102" s="757"/>
      <c r="M102" s="774"/>
      <c r="N102" s="752"/>
    </row>
    <row r="103" spans="2:19" s="6" customFormat="1" ht="25" hidden="1" customHeight="1">
      <c r="B103" s="677" t="s">
        <v>424</v>
      </c>
      <c r="C103" s="678" t="s">
        <v>433</v>
      </c>
      <c r="D103" s="1081">
        <f>S3_archive.1000_SEK</f>
        <v>185</v>
      </c>
      <c r="E103" s="1081"/>
      <c r="F103" s="1081"/>
      <c r="G103" s="1081"/>
      <c r="H103" s="1081"/>
      <c r="I103" s="1081"/>
      <c r="J103" s="1018"/>
      <c r="K103" s="968"/>
      <c r="L103" s="757"/>
      <c r="M103" s="774"/>
      <c r="N103" s="752"/>
    </row>
    <row r="104" spans="2:19" s="6" customFormat="1" ht="25" hidden="1" customHeight="1">
      <c r="B104" s="669" t="s">
        <v>424</v>
      </c>
      <c r="C104" s="670" t="s">
        <v>434</v>
      </c>
      <c r="D104" s="1082" t="str">
        <f>S3_archive.quote_SEK</f>
        <v>Be om offert</v>
      </c>
      <c r="E104" s="1082"/>
      <c r="F104" s="1082"/>
      <c r="G104" s="1082"/>
      <c r="H104" s="1082"/>
      <c r="I104" s="1082"/>
      <c r="J104" s="1017"/>
      <c r="K104" s="970"/>
      <c r="L104" s="757"/>
      <c r="M104" s="774"/>
      <c r="N104" s="752"/>
    </row>
    <row r="105" spans="2:19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19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19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19" s="6" customFormat="1" ht="25" customHeight="1">
      <c r="B108" s="1072" t="s">
        <v>86</v>
      </c>
      <c r="C108" s="1072"/>
      <c r="D108" s="1072"/>
      <c r="E108" s="1072"/>
      <c r="F108" s="1072"/>
      <c r="G108" s="1072"/>
      <c r="H108" s="748"/>
      <c r="J108" s="749"/>
      <c r="K108" s="950"/>
      <c r="L108" s="749"/>
      <c r="M108" s="751"/>
    </row>
    <row r="109" spans="2:19" s="6" customFormat="1" ht="25" customHeight="1">
      <c r="B109" s="1072"/>
      <c r="C109" s="1072"/>
      <c r="D109" s="1072"/>
      <c r="E109" s="1072"/>
      <c r="F109" s="1072"/>
      <c r="G109" s="1072"/>
      <c r="H109" s="748"/>
      <c r="J109" s="749"/>
      <c r="K109" s="950"/>
      <c r="L109" s="749"/>
      <c r="M109" s="751"/>
    </row>
    <row r="110" spans="2:19" s="6" customFormat="1" ht="25" customHeight="1">
      <c r="B110" s="1072"/>
      <c r="C110" s="1072"/>
      <c r="D110" s="1072"/>
      <c r="E110" s="1072"/>
      <c r="F110" s="1072"/>
      <c r="G110" s="1072"/>
      <c r="H110" s="748"/>
      <c r="J110" s="749"/>
      <c r="K110" s="950"/>
      <c r="L110" s="749"/>
      <c r="M110" s="751"/>
    </row>
    <row r="111" spans="2:19" s="6" customFormat="1" ht="25" customHeight="1">
      <c r="B111" s="1012" t="s">
        <v>539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19" s="6" customFormat="1" ht="25" customHeight="1">
      <c r="B112" s="1013" t="s">
        <v>421</v>
      </c>
      <c r="C112" s="1013"/>
      <c r="D112" s="1013"/>
      <c r="E112" s="1013"/>
      <c r="F112" s="1013"/>
      <c r="G112" s="754"/>
      <c r="H112" s="755"/>
      <c r="I112" s="754"/>
      <c r="J112" s="756"/>
      <c r="K112" s="951"/>
      <c r="L112" s="842"/>
      <c r="M112" s="758"/>
    </row>
    <row r="113" spans="1:32" s="9" customFormat="1" ht="25" customHeight="1">
      <c r="B113" s="602" t="s">
        <v>451</v>
      </c>
      <c r="C113" s="76"/>
      <c r="D113" s="76"/>
      <c r="E113" s="76"/>
      <c r="F113" s="1011"/>
      <c r="G113" s="754"/>
      <c r="H113" s="755"/>
      <c r="I113" s="754"/>
      <c r="J113" s="756"/>
      <c r="K113" s="951"/>
      <c r="L113" s="842"/>
      <c r="M113" s="774"/>
      <c r="O113" s="752"/>
      <c r="P113" s="752"/>
      <c r="Q113" s="752"/>
      <c r="R113" s="752"/>
      <c r="S113" s="752"/>
      <c r="T113" s="752"/>
      <c r="U113" s="752"/>
      <c r="X113" s="10"/>
      <c r="Y113" s="10"/>
      <c r="Z113" s="10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208</v>
      </c>
      <c r="C115" s="870"/>
      <c r="D115" s="870"/>
      <c r="E115" s="26" t="s">
        <v>228</v>
      </c>
      <c r="F115" s="870"/>
      <c r="G115" s="26" t="s">
        <v>627</v>
      </c>
      <c r="H115" s="26"/>
      <c r="I115" s="820" t="s">
        <v>90</v>
      </c>
      <c r="J115" s="820" t="s">
        <v>460</v>
      </c>
      <c r="K115" s="674" t="s">
        <v>92</v>
      </c>
      <c r="L115" s="814"/>
      <c r="M115" s="1066" t="s">
        <v>456</v>
      </c>
      <c r="O115" s="10"/>
    </row>
    <row r="116" spans="1:32" ht="25" customHeight="1">
      <c r="A116" s="722"/>
      <c r="B116" s="141" t="s">
        <v>497</v>
      </c>
      <c r="C116" s="80"/>
      <c r="D116" s="80"/>
      <c r="E116" s="31" t="s">
        <v>94</v>
      </c>
      <c r="F116" s="827"/>
      <c r="G116" s="861">
        <f>BAAS_on.demand_SEK</f>
        <v>2.4500000000000002</v>
      </c>
      <c r="H116" s="827"/>
      <c r="I116" s="845"/>
      <c r="J116" s="1003" t="s">
        <v>94</v>
      </c>
      <c r="K116" s="944">
        <f>ROUNDUP(I116*G116,2)</f>
        <v>0</v>
      </c>
      <c r="L116" s="814"/>
      <c r="M116" s="942" t="s">
        <v>457</v>
      </c>
      <c r="O116" s="10"/>
    </row>
    <row r="117" spans="1:32" ht="25" customHeight="1">
      <c r="A117" s="722"/>
      <c r="B117" s="144" t="s">
        <v>498</v>
      </c>
      <c r="C117" s="862"/>
      <c r="D117" s="862"/>
      <c r="E117" s="33">
        <v>5500</v>
      </c>
      <c r="F117" s="832"/>
      <c r="G117" s="863">
        <f>BAAS_small_SEK</f>
        <v>1.75</v>
      </c>
      <c r="H117" s="832"/>
      <c r="I117" s="864"/>
      <c r="J117" s="865">
        <v>0.75</v>
      </c>
      <c r="K117" s="945">
        <f>IF(I117&gt;0,$E$117+($G$117*(I117*(1-$J$117))),0)</f>
        <v>0</v>
      </c>
      <c r="L117" s="814"/>
      <c r="M117" s="943" t="s">
        <v>458</v>
      </c>
      <c r="O117" s="10"/>
    </row>
    <row r="118" spans="1:32" s="868" customFormat="1" ht="25" customHeight="1">
      <c r="A118" s="866"/>
      <c r="B118" s="506" t="s">
        <v>499</v>
      </c>
      <c r="C118" s="84"/>
      <c r="D118" s="84"/>
      <c r="E118" s="35">
        <v>9500</v>
      </c>
      <c r="F118" s="853"/>
      <c r="G118" s="861">
        <f>BAAS_large_SEK</f>
        <v>0.92</v>
      </c>
      <c r="H118" s="853"/>
      <c r="I118" s="852"/>
      <c r="J118" s="867">
        <v>0.75</v>
      </c>
      <c r="K118" s="650">
        <f>IF(I118&gt;0,$E$118+($G$118*(I118*(1-$J$118))),0)</f>
        <v>0</v>
      </c>
      <c r="L118" s="814"/>
      <c r="M118" s="942" t="s">
        <v>459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222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997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72" t="s">
        <v>443</v>
      </c>
      <c r="C123" s="1072"/>
      <c r="D123" s="1072"/>
      <c r="E123" s="1072"/>
      <c r="F123" s="1072"/>
      <c r="G123" s="1072"/>
      <c r="H123" s="748"/>
      <c r="J123" s="749"/>
      <c r="K123" s="950"/>
      <c r="L123" s="749"/>
      <c r="M123" s="751"/>
    </row>
    <row r="124" spans="1:32" s="6" customFormat="1" ht="25" customHeight="1">
      <c r="B124" s="1072"/>
      <c r="C124" s="1072"/>
      <c r="D124" s="1072"/>
      <c r="E124" s="1072"/>
      <c r="F124" s="1072"/>
      <c r="G124" s="1072"/>
      <c r="H124" s="748"/>
      <c r="J124" s="749"/>
      <c r="K124" s="950"/>
      <c r="L124" s="749"/>
      <c r="M124" s="751"/>
    </row>
    <row r="125" spans="1:32" s="6" customFormat="1" ht="25" customHeight="1">
      <c r="B125" s="1072"/>
      <c r="C125" s="1072"/>
      <c r="D125" s="1072"/>
      <c r="E125" s="1072"/>
      <c r="F125" s="1072"/>
      <c r="G125" s="1072"/>
      <c r="H125" s="748"/>
      <c r="J125" s="749"/>
      <c r="K125" s="950"/>
      <c r="L125" s="749"/>
      <c r="M125" s="751"/>
    </row>
    <row r="126" spans="1:32" s="6" customFormat="1" ht="25" customHeight="1">
      <c r="B126" s="1012" t="s">
        <v>454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13" t="s">
        <v>421</v>
      </c>
      <c r="C127" s="546"/>
      <c r="D127" s="546"/>
      <c r="E127" s="546"/>
      <c r="F127" s="546"/>
      <c r="H127" s="755"/>
      <c r="I127" s="754"/>
      <c r="J127" s="756"/>
      <c r="K127" s="951"/>
      <c r="L127" s="842"/>
      <c r="M127" s="758"/>
    </row>
    <row r="128" spans="1:32" s="9" customFormat="1" ht="25" customHeight="1">
      <c r="B128" s="602" t="s">
        <v>455</v>
      </c>
      <c r="C128" s="76"/>
      <c r="D128" s="76"/>
      <c r="E128" s="76"/>
      <c r="F128" s="1011"/>
      <c r="G128" s="754"/>
      <c r="H128" s="755"/>
      <c r="I128" s="754"/>
      <c r="J128" s="756"/>
      <c r="K128" s="951"/>
      <c r="L128" s="842"/>
      <c r="M128" s="774"/>
      <c r="O128" s="752"/>
      <c r="P128" s="752"/>
      <c r="Q128" s="752"/>
      <c r="R128" s="752"/>
      <c r="S128" s="752"/>
      <c r="T128" s="752"/>
      <c r="U128" s="752"/>
      <c r="X128" s="10"/>
      <c r="Y128" s="10"/>
      <c r="Z128" s="10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208</v>
      </c>
      <c r="C130" s="1084" t="s">
        <v>446</v>
      </c>
      <c r="D130" s="1084"/>
      <c r="E130" s="1084" t="s">
        <v>447</v>
      </c>
      <c r="F130" s="1084"/>
      <c r="G130" s="1084" t="s">
        <v>228</v>
      </c>
      <c r="H130" s="1084"/>
      <c r="I130" s="26"/>
      <c r="J130" s="26"/>
      <c r="K130" s="674" t="s">
        <v>92</v>
      </c>
      <c r="L130" s="814"/>
      <c r="M130" s="1067"/>
      <c r="O130" s="10"/>
    </row>
    <row r="131" spans="1:32" ht="25" customHeight="1">
      <c r="A131" s="722"/>
      <c r="B131" s="939" t="s">
        <v>500</v>
      </c>
      <c r="C131" s="1089" t="s">
        <v>545</v>
      </c>
      <c r="D131" s="1089"/>
      <c r="E131" s="1091" t="s">
        <v>445</v>
      </c>
      <c r="F131" s="1091"/>
      <c r="G131" s="1085">
        <v>15000</v>
      </c>
      <c r="H131" s="1086"/>
      <c r="I131" s="845"/>
      <c r="J131" s="1069">
        <v>2</v>
      </c>
      <c r="K131" s="972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501</v>
      </c>
      <c r="C132" s="1090" t="s">
        <v>444</v>
      </c>
      <c r="D132" s="1090"/>
      <c r="E132" s="1092" t="s">
        <v>448</v>
      </c>
      <c r="F132" s="1092"/>
      <c r="G132" s="1087">
        <v>24000</v>
      </c>
      <c r="H132" s="1088"/>
      <c r="I132" s="849"/>
      <c r="J132" s="832"/>
      <c r="K132" s="973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222</v>
      </c>
      <c r="C133" s="995"/>
      <c r="D133" s="995"/>
      <c r="E133" s="995"/>
      <c r="F133" s="995"/>
      <c r="G133" s="995"/>
      <c r="H133" s="995"/>
      <c r="I133" s="1068"/>
      <c r="J133" s="995"/>
      <c r="K133" s="997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72" t="s">
        <v>234</v>
      </c>
      <c r="C137" s="1072"/>
      <c r="D137" s="1072"/>
      <c r="E137" s="1072"/>
      <c r="F137" s="1072"/>
      <c r="G137" s="1072"/>
      <c r="H137" s="748"/>
      <c r="J137" s="749"/>
      <c r="K137" s="950"/>
      <c r="M137" s="774"/>
    </row>
    <row r="138" spans="1:32" s="6" customFormat="1" ht="25" customHeight="1">
      <c r="B138" s="1072"/>
      <c r="C138" s="1072"/>
      <c r="D138" s="1072"/>
      <c r="E138" s="1072"/>
      <c r="F138" s="1072"/>
      <c r="G138" s="1072"/>
      <c r="H138" s="748"/>
      <c r="J138" s="749"/>
      <c r="K138" s="950"/>
      <c r="M138" s="774"/>
    </row>
    <row r="139" spans="1:32" s="6" customFormat="1" ht="25" customHeight="1">
      <c r="B139" s="1072"/>
      <c r="C139" s="1072"/>
      <c r="D139" s="1072"/>
      <c r="E139" s="1072"/>
      <c r="F139" s="1072"/>
      <c r="G139" s="1072"/>
      <c r="H139" s="748"/>
      <c r="J139" s="749"/>
      <c r="K139" s="950"/>
      <c r="M139" s="774"/>
    </row>
    <row r="140" spans="1:32" s="6" customFormat="1" ht="25" customHeight="1">
      <c r="B140" s="1013" t="s">
        <v>421</v>
      </c>
      <c r="C140" s="546"/>
      <c r="D140" s="546"/>
      <c r="E140" s="546"/>
      <c r="F140" s="546"/>
      <c r="H140" s="748"/>
      <c r="J140" s="749"/>
      <c r="K140" s="950"/>
      <c r="M140" s="774"/>
    </row>
    <row r="141" spans="1:32" s="6" customFormat="1" ht="25" customHeight="1">
      <c r="B141" s="1073"/>
      <c r="C141" s="1073"/>
      <c r="D141" s="1073"/>
      <c r="E141" s="1073"/>
      <c r="F141" s="1073"/>
      <c r="G141" s="754"/>
      <c r="H141" s="755"/>
      <c r="I141" s="754"/>
      <c r="J141" s="756"/>
      <c r="K141" s="951"/>
      <c r="L141" s="754"/>
      <c r="M141" s="774"/>
    </row>
    <row r="142" spans="1:32" s="6" customFormat="1" ht="25" customHeight="1">
      <c r="B142" s="1013"/>
      <c r="C142" s="1011"/>
      <c r="D142" s="1011"/>
      <c r="E142" s="1011"/>
      <c r="F142" s="1011"/>
      <c r="G142" s="754"/>
      <c r="H142" s="755"/>
      <c r="I142" s="754"/>
      <c r="J142" s="756"/>
      <c r="K142" s="951"/>
      <c r="L142" s="754"/>
      <c r="M142" s="774"/>
    </row>
    <row r="143" spans="1:32" s="9" customFormat="1" ht="25" customHeight="1">
      <c r="B143" s="716" t="s">
        <v>390</v>
      </c>
      <c r="C143" s="1011"/>
      <c r="D143" s="1011"/>
      <c r="E143" s="1011"/>
      <c r="F143" s="1011"/>
      <c r="G143" s="754"/>
      <c r="H143" s="754"/>
      <c r="I143" s="754"/>
      <c r="J143" s="756"/>
      <c r="K143" s="951"/>
      <c r="L143" s="754"/>
      <c r="M143" s="774"/>
      <c r="N143" s="752"/>
      <c r="O143" s="752"/>
      <c r="P143" s="752"/>
      <c r="Q143" s="752"/>
      <c r="R143" s="752"/>
      <c r="S143" s="752"/>
    </row>
    <row r="144" spans="1:32" ht="25" customHeight="1">
      <c r="B144" s="690" t="s">
        <v>549</v>
      </c>
      <c r="M144" s="765"/>
    </row>
    <row r="145" spans="2:18" ht="25" customHeight="1">
      <c r="B145" s="510" t="s">
        <v>208</v>
      </c>
      <c r="C145" s="25" t="s">
        <v>235</v>
      </c>
      <c r="D145" s="25"/>
      <c r="E145" s="26" t="s">
        <v>220</v>
      </c>
      <c r="F145" s="26"/>
      <c r="G145" s="26"/>
      <c r="H145" s="26"/>
      <c r="I145" s="26"/>
      <c r="J145" s="25" t="s">
        <v>236</v>
      </c>
      <c r="K145" s="674" t="s">
        <v>211</v>
      </c>
      <c r="L145" s="15"/>
      <c r="M145" s="774"/>
      <c r="N145" s="837"/>
      <c r="O145" s="9"/>
    </row>
    <row r="146" spans="2:18" ht="25" customHeight="1">
      <c r="B146" s="141" t="s">
        <v>502</v>
      </c>
      <c r="C146" s="136" t="s">
        <v>105</v>
      </c>
      <c r="D146" s="136"/>
      <c r="E146" s="41" t="s">
        <v>237</v>
      </c>
      <c r="F146" s="32"/>
      <c r="G146" s="32"/>
      <c r="H146" s="32"/>
      <c r="I146" s="32"/>
      <c r="J146" s="873" t="s">
        <v>107</v>
      </c>
      <c r="K146" s="944">
        <f>NET_publicv4_SEK</f>
        <v>25</v>
      </c>
      <c r="L146" s="10"/>
      <c r="M146" s="774"/>
      <c r="N146" s="837"/>
      <c r="O146" s="9"/>
    </row>
    <row r="147" spans="2:18" ht="25" customHeight="1">
      <c r="B147" s="144" t="s">
        <v>503</v>
      </c>
      <c r="C147" s="137" t="s">
        <v>109</v>
      </c>
      <c r="D147" s="137"/>
      <c r="E147" s="43" t="s">
        <v>237</v>
      </c>
      <c r="F147" s="874"/>
      <c r="G147" s="874"/>
      <c r="H147" s="874"/>
      <c r="I147" s="874"/>
      <c r="J147" s="875" t="s">
        <v>94</v>
      </c>
      <c r="K147" s="606">
        <f>NET_publicv6_SEK</f>
        <v>0</v>
      </c>
      <c r="L147" s="10"/>
      <c r="M147" s="774"/>
      <c r="N147" s="837"/>
      <c r="O147" s="9"/>
    </row>
    <row r="148" spans="2:18" ht="25" customHeight="1">
      <c r="B148" s="141" t="s">
        <v>504</v>
      </c>
      <c r="C148" s="136" t="s">
        <v>238</v>
      </c>
      <c r="D148" s="136"/>
      <c r="E148" s="155"/>
      <c r="F148" s="39"/>
      <c r="G148" s="39"/>
      <c r="H148" s="39"/>
      <c r="I148" s="39"/>
      <c r="J148" s="873" t="s">
        <v>69</v>
      </c>
      <c r="K148" s="607">
        <f>NET_ingress_SEK</f>
        <v>0</v>
      </c>
      <c r="L148" s="10"/>
      <c r="M148" s="774"/>
      <c r="N148" s="837"/>
      <c r="O148" s="9"/>
    </row>
    <row r="149" spans="2:18" ht="25" customHeight="1">
      <c r="B149" s="144" t="s">
        <v>505</v>
      </c>
      <c r="C149" s="137" t="s">
        <v>238</v>
      </c>
      <c r="D149" s="137"/>
      <c r="E149" s="43" t="s">
        <v>239</v>
      </c>
      <c r="F149" s="874"/>
      <c r="G149" s="874"/>
      <c r="H149" s="874"/>
      <c r="I149" s="874"/>
      <c r="J149" s="876" t="s">
        <v>69</v>
      </c>
      <c r="K149" s="606">
        <f>NET_egress_SEK</f>
        <v>0.25</v>
      </c>
      <c r="L149" s="10"/>
      <c r="M149" s="774"/>
      <c r="N149" s="837"/>
      <c r="O149" s="9"/>
    </row>
    <row r="150" spans="2:18" ht="25" customHeight="1">
      <c r="B150" s="141" t="s">
        <v>506</v>
      </c>
      <c r="C150" s="136" t="s">
        <v>115</v>
      </c>
      <c r="D150" s="136"/>
      <c r="E150" s="32" t="s">
        <v>412</v>
      </c>
      <c r="F150" s="39"/>
      <c r="G150" s="39"/>
      <c r="H150" s="39"/>
      <c r="I150" s="39"/>
      <c r="J150" s="873" t="s">
        <v>240</v>
      </c>
      <c r="K150" s="607" t="str">
        <f>NET_mgn.slb_SEK</f>
        <v>Begär offert</v>
      </c>
      <c r="M150" s="774"/>
    </row>
    <row r="151" spans="2:18" ht="25" customHeight="1">
      <c r="B151" s="144" t="s">
        <v>507</v>
      </c>
      <c r="C151" s="137" t="s">
        <v>118</v>
      </c>
      <c r="D151" s="137"/>
      <c r="E151" s="43"/>
      <c r="F151" s="874"/>
      <c r="G151" s="874"/>
      <c r="H151" s="874"/>
      <c r="I151" s="874"/>
      <c r="J151" s="875" t="s">
        <v>94</v>
      </c>
      <c r="K151" s="606">
        <f>NET_rdns_SEK</f>
        <v>0</v>
      </c>
      <c r="L151" s="10"/>
      <c r="M151" s="774"/>
      <c r="N151" s="837"/>
      <c r="O151" s="9"/>
    </row>
    <row r="152" spans="2:18" ht="25" customHeight="1">
      <c r="B152" s="141" t="s">
        <v>508</v>
      </c>
      <c r="C152" s="136" t="s">
        <v>121</v>
      </c>
      <c r="D152" s="136"/>
      <c r="E152" s="32"/>
      <c r="F152" s="39"/>
      <c r="G152" s="39"/>
      <c r="H152" s="39"/>
      <c r="I152" s="39"/>
      <c r="J152" s="878" t="s">
        <v>94</v>
      </c>
      <c r="K152" s="607">
        <v>0</v>
      </c>
      <c r="L152" s="10"/>
      <c r="M152" s="774"/>
      <c r="N152" s="837"/>
      <c r="O152" s="9"/>
    </row>
    <row r="153" spans="2:18" ht="25" customHeight="1">
      <c r="B153" s="704"/>
      <c r="C153" s="148"/>
      <c r="D153" s="149"/>
      <c r="E153" s="149"/>
      <c r="F153" s="149"/>
      <c r="G153" s="149"/>
      <c r="H153" s="149"/>
      <c r="I153" s="149"/>
      <c r="J153" s="148"/>
      <c r="K153" s="974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940"/>
      <c r="C155" s="721"/>
      <c r="D155" s="722"/>
      <c r="E155" s="722"/>
      <c r="F155" s="722"/>
      <c r="G155" s="722"/>
      <c r="H155" s="722"/>
      <c r="I155" s="722"/>
      <c r="J155" s="721"/>
      <c r="K155" s="975"/>
      <c r="L155" s="10"/>
      <c r="M155" s="774"/>
      <c r="N155" s="837"/>
      <c r="O155" s="9"/>
    </row>
    <row r="156" spans="2:18" ht="25" customHeight="1">
      <c r="B156" s="716" t="s">
        <v>241</v>
      </c>
      <c r="C156" s="15"/>
      <c r="D156" s="15"/>
      <c r="E156" s="15"/>
      <c r="F156" s="15"/>
      <c r="G156" s="15"/>
      <c r="H156" s="15"/>
      <c r="I156" s="15"/>
      <c r="J156" s="879"/>
      <c r="K156" s="966"/>
      <c r="M156" s="774"/>
      <c r="N156" s="837"/>
      <c r="O156" s="9"/>
    </row>
    <row r="157" spans="2:18" ht="25" customHeight="1">
      <c r="B157" s="690" t="s">
        <v>461</v>
      </c>
      <c r="M157" s="765"/>
    </row>
    <row r="158" spans="2:18" ht="25" customHeight="1">
      <c r="B158" s="515" t="s">
        <v>208</v>
      </c>
      <c r="C158" s="25"/>
      <c r="D158" s="110"/>
      <c r="E158" s="110" t="s">
        <v>220</v>
      </c>
      <c r="F158" s="880"/>
      <c r="G158" s="880"/>
      <c r="H158" s="880"/>
      <c r="I158" s="880"/>
      <c r="J158" s="110" t="s">
        <v>236</v>
      </c>
      <c r="K158" s="976" t="s">
        <v>211</v>
      </c>
      <c r="L158" s="10"/>
      <c r="M158" s="774"/>
      <c r="N158" s="837"/>
      <c r="O158" s="9"/>
    </row>
    <row r="159" spans="2:18" ht="25" customHeight="1">
      <c r="B159" s="141" t="s">
        <v>509</v>
      </c>
      <c r="C159" s="136"/>
      <c r="D159" s="32"/>
      <c r="E159" s="32" t="s">
        <v>123</v>
      </c>
      <c r="F159" s="32"/>
      <c r="G159" s="32"/>
      <c r="H159" s="32"/>
      <c r="I159" s="32"/>
      <c r="J159" s="873" t="s">
        <v>10</v>
      </c>
      <c r="K159" s="944">
        <f>SW_win.ser.201X_SEK</f>
        <v>78</v>
      </c>
      <c r="L159" s="835"/>
      <c r="M159" s="774"/>
      <c r="N159" s="837"/>
      <c r="O159" s="9"/>
      <c r="Q159" s="752"/>
      <c r="R159" s="752"/>
    </row>
    <row r="160" spans="2:18" ht="25" customHeight="1">
      <c r="B160" s="144" t="s">
        <v>510</v>
      </c>
      <c r="C160" s="137"/>
      <c r="D160" s="40"/>
      <c r="E160" s="40" t="s">
        <v>125</v>
      </c>
      <c r="F160" s="874"/>
      <c r="G160" s="874"/>
      <c r="H160" s="874"/>
      <c r="I160" s="874"/>
      <c r="J160" s="876" t="s">
        <v>10</v>
      </c>
      <c r="K160" s="945">
        <f>SW_win.ser.201X_SEK</f>
        <v>78</v>
      </c>
      <c r="L160" s="835"/>
      <c r="M160" s="774"/>
      <c r="N160" s="837"/>
      <c r="O160" s="9"/>
      <c r="Q160" s="752"/>
      <c r="R160" s="752"/>
    </row>
    <row r="161" spans="2:18" s="6" customFormat="1" ht="25" customHeight="1">
      <c r="B161" s="141" t="s">
        <v>511</v>
      </c>
      <c r="C161" s="136"/>
      <c r="D161" s="32"/>
      <c r="E161" s="32" t="s">
        <v>418</v>
      </c>
      <c r="F161" s="32"/>
      <c r="G161" s="32"/>
      <c r="H161" s="32"/>
      <c r="I161" s="32"/>
      <c r="J161" s="873" t="s">
        <v>10</v>
      </c>
      <c r="K161" s="944">
        <f>SW_ms.sql.ser_SEK</f>
        <v>1498</v>
      </c>
      <c r="M161" s="774"/>
      <c r="N161" s="837"/>
      <c r="O161" s="9"/>
    </row>
    <row r="162" spans="2:18" ht="25" customHeight="1">
      <c r="B162" s="144" t="s">
        <v>512</v>
      </c>
      <c r="C162" s="137"/>
      <c r="D162" s="40"/>
      <c r="E162" s="40" t="s">
        <v>129</v>
      </c>
      <c r="F162" s="874"/>
      <c r="G162" s="874"/>
      <c r="H162" s="874"/>
      <c r="I162" s="874"/>
      <c r="J162" s="876" t="s">
        <v>242</v>
      </c>
      <c r="K162" s="606" t="str">
        <f>SW_stackn_SEK</f>
        <v>Begär offert</v>
      </c>
      <c r="L162" s="10"/>
      <c r="M162" s="774"/>
      <c r="N162" s="837"/>
      <c r="O162" s="9"/>
    </row>
    <row r="163" spans="2:18" ht="25" customHeight="1">
      <c r="B163" s="141" t="s">
        <v>513</v>
      </c>
      <c r="C163" s="136"/>
      <c r="D163" s="32"/>
      <c r="E163" s="32" t="s">
        <v>131</v>
      </c>
      <c r="F163" s="32"/>
      <c r="G163" s="32"/>
      <c r="H163" s="32"/>
      <c r="I163" s="32"/>
      <c r="J163" s="878" t="s">
        <v>94</v>
      </c>
      <c r="K163" s="607" t="str">
        <f>SW_nextcloud_SEK</f>
        <v>Begär offert</v>
      </c>
      <c r="L163" s="835"/>
      <c r="M163" s="774"/>
      <c r="N163" s="837"/>
      <c r="O163" s="9"/>
      <c r="Q163" s="752"/>
      <c r="R163" s="752"/>
    </row>
    <row r="164" spans="2:18" s="6" customFormat="1" ht="25" customHeight="1">
      <c r="B164" s="144" t="s">
        <v>514</v>
      </c>
      <c r="C164" s="137"/>
      <c r="D164" s="40"/>
      <c r="E164" s="40" t="s">
        <v>133</v>
      </c>
      <c r="F164" s="874"/>
      <c r="G164" s="874"/>
      <c r="H164" s="874"/>
      <c r="I164" s="874"/>
      <c r="J164" s="875" t="s">
        <v>94</v>
      </c>
      <c r="K164" s="606" t="str">
        <f>SW_suse_SEK</f>
        <v>Begär offert</v>
      </c>
      <c r="M164" s="774"/>
      <c r="N164" s="837"/>
      <c r="O164" s="9"/>
    </row>
    <row r="165" spans="2:18" ht="25" customHeight="1">
      <c r="B165" s="141" t="s">
        <v>515</v>
      </c>
      <c r="C165" s="136"/>
      <c r="D165" s="32"/>
      <c r="E165" s="32" t="s">
        <v>135</v>
      </c>
      <c r="F165" s="32"/>
      <c r="G165" s="32"/>
      <c r="H165" s="32"/>
      <c r="I165" s="32"/>
      <c r="J165" s="878" t="s">
        <v>94</v>
      </c>
      <c r="K165" s="607" t="str">
        <f>SW_cluster.control_SEK</f>
        <v>3x instanspris</v>
      </c>
      <c r="L165" s="10"/>
      <c r="M165" s="774"/>
      <c r="N165" s="837"/>
      <c r="O165" s="9"/>
    </row>
    <row r="166" spans="2:18" ht="25" customHeight="1">
      <c r="B166" s="144" t="s">
        <v>516</v>
      </c>
      <c r="C166" s="137"/>
      <c r="D166" s="40"/>
      <c r="E166" s="40" t="s">
        <v>137</v>
      </c>
      <c r="F166" s="874"/>
      <c r="G166" s="874"/>
      <c r="H166" s="874"/>
      <c r="I166" s="874"/>
      <c r="J166" s="876" t="s">
        <v>138</v>
      </c>
      <c r="K166" s="945">
        <f>SW_backup.ninja_SEK</f>
        <v>400</v>
      </c>
      <c r="L166" s="10"/>
      <c r="M166" s="774"/>
      <c r="N166" s="837"/>
      <c r="O166" s="9"/>
    </row>
    <row r="167" spans="2:18" ht="25" customHeight="1">
      <c r="B167" s="109"/>
      <c r="C167" s="106"/>
      <c r="D167" s="107"/>
      <c r="E167" s="108"/>
      <c r="F167" s="881"/>
      <c r="G167" s="881"/>
      <c r="H167" s="881"/>
      <c r="I167" s="881"/>
      <c r="J167" s="882"/>
      <c r="K167" s="977"/>
      <c r="L167" s="10"/>
      <c r="M167" s="774"/>
      <c r="N167" s="837"/>
      <c r="O167" s="9"/>
    </row>
    <row r="168" spans="2:18" ht="25" customHeight="1">
      <c r="B168" s="144"/>
      <c r="C168" s="137"/>
      <c r="D168" s="43"/>
      <c r="E168" s="33"/>
      <c r="F168" s="874"/>
      <c r="G168" s="874"/>
      <c r="H168" s="874"/>
      <c r="I168" s="874"/>
      <c r="J168" s="883"/>
      <c r="K168" s="606"/>
      <c r="L168" s="10"/>
      <c r="M168" s="774"/>
      <c r="N168" s="837"/>
      <c r="O168" s="9"/>
    </row>
    <row r="169" spans="2:18" ht="25" customHeight="1">
      <c r="J169" s="10"/>
      <c r="K169" s="966"/>
      <c r="M169" s="774"/>
      <c r="N169" s="837"/>
      <c r="O169" s="9"/>
    </row>
    <row r="170" spans="2:18" ht="25" customHeight="1">
      <c r="B170" s="716" t="s">
        <v>243</v>
      </c>
      <c r="C170" s="15"/>
      <c r="D170" s="15"/>
      <c r="F170" s="15"/>
      <c r="G170" s="15"/>
      <c r="H170" s="15"/>
      <c r="I170" s="15"/>
      <c r="J170" s="15"/>
      <c r="K170" s="966"/>
      <c r="M170" s="774"/>
      <c r="N170" s="837"/>
      <c r="O170" s="9"/>
    </row>
    <row r="171" spans="2:18" ht="25" customHeight="1">
      <c r="B171" s="690" t="s">
        <v>462</v>
      </c>
      <c r="M171" s="765"/>
    </row>
    <row r="172" spans="2:18" ht="25" customHeight="1">
      <c r="B172" s="510" t="s">
        <v>208</v>
      </c>
      <c r="C172" s="25"/>
      <c r="D172" s="25"/>
      <c r="E172" s="25" t="s">
        <v>220</v>
      </c>
      <c r="F172" s="26"/>
      <c r="G172" s="26"/>
      <c r="H172" s="26"/>
      <c r="I172" s="26"/>
      <c r="J172" s="1015"/>
      <c r="K172" s="674" t="s">
        <v>211</v>
      </c>
      <c r="M172" s="774"/>
      <c r="N172" s="837"/>
      <c r="O172" s="9"/>
    </row>
    <row r="173" spans="2:18" ht="25" customHeight="1">
      <c r="B173" s="141" t="s">
        <v>501</v>
      </c>
      <c r="C173" s="136"/>
      <c r="D173" s="32"/>
      <c r="E173" s="32" t="s">
        <v>415</v>
      </c>
      <c r="F173" s="32"/>
      <c r="G173" s="32"/>
      <c r="H173" s="32"/>
      <c r="I173" s="32"/>
      <c r="J173" s="42"/>
      <c r="K173" s="991">
        <f>PAAS_man.kubernetes_SEK</f>
        <v>24000</v>
      </c>
      <c r="M173" s="774"/>
      <c r="N173" s="837"/>
      <c r="O173" s="9"/>
    </row>
    <row r="174" spans="2:18" ht="25" customHeight="1">
      <c r="B174" s="144" t="s">
        <v>517</v>
      </c>
      <c r="C174" s="137"/>
      <c r="D174" s="40"/>
      <c r="E174" s="40" t="s">
        <v>416</v>
      </c>
      <c r="F174" s="874"/>
      <c r="G174" s="874"/>
      <c r="H174" s="874"/>
      <c r="I174" s="874"/>
      <c r="J174" s="883"/>
      <c r="K174" s="945">
        <f>PAAS_man.postgres.sql_SEK</f>
        <v>15000</v>
      </c>
      <c r="M174" s="774"/>
      <c r="N174" s="837"/>
      <c r="O174" s="9"/>
    </row>
    <row r="175" spans="2:18" ht="25" customHeight="1">
      <c r="B175" s="141" t="s">
        <v>518</v>
      </c>
      <c r="C175" s="136"/>
      <c r="D175" s="32"/>
      <c r="E175" s="32" t="s">
        <v>417</v>
      </c>
      <c r="F175" s="32"/>
      <c r="G175" s="32"/>
      <c r="H175" s="32"/>
      <c r="I175" s="32"/>
      <c r="J175" s="42"/>
      <c r="K175" s="607" t="str">
        <f>PAAS_man.elasticsearch_SEK</f>
        <v>Begär offert</v>
      </c>
      <c r="M175" s="774"/>
      <c r="N175" s="837"/>
      <c r="O175" s="9"/>
    </row>
    <row r="176" spans="2:18" ht="25" customHeight="1">
      <c r="B176" s="144" t="s">
        <v>519</v>
      </c>
      <c r="C176" s="137"/>
      <c r="D176" s="40"/>
      <c r="E176" s="40" t="s">
        <v>437</v>
      </c>
      <c r="F176" s="874"/>
      <c r="G176" s="874"/>
      <c r="H176" s="874"/>
      <c r="I176" s="874"/>
      <c r="J176" s="883"/>
      <c r="K176" s="606">
        <f>PAAS_openshift_SEK</f>
        <v>0</v>
      </c>
      <c r="M176" s="774"/>
      <c r="N176" s="837"/>
      <c r="O176" s="9"/>
    </row>
    <row r="177" spans="2:20" ht="25" customHeight="1">
      <c r="B177" s="141" t="s">
        <v>520</v>
      </c>
      <c r="C177" s="136"/>
      <c r="D177" s="32"/>
      <c r="E177" s="32" t="s">
        <v>147</v>
      </c>
      <c r="F177" s="32"/>
      <c r="G177" s="32"/>
      <c r="H177" s="32"/>
      <c r="I177" s="32"/>
      <c r="J177" s="42"/>
      <c r="K177" s="607" t="str">
        <f>PAAS_man.nats_SEK</f>
        <v>Begär offert</v>
      </c>
      <c r="M177" s="774"/>
      <c r="N177" s="837"/>
      <c r="O177" s="9"/>
    </row>
    <row r="178" spans="2:20" ht="25" customHeight="1">
      <c r="B178" s="144" t="s">
        <v>521</v>
      </c>
      <c r="C178" s="137"/>
      <c r="D178" s="40"/>
      <c r="E178" s="40" t="s">
        <v>150</v>
      </c>
      <c r="F178" s="874"/>
      <c r="G178" s="874"/>
      <c r="H178" s="874"/>
      <c r="I178" s="874"/>
      <c r="J178" s="883"/>
      <c r="K178" s="606" t="str">
        <f>PAAS_man.mariadb_SEK</f>
        <v>Begär offert</v>
      </c>
      <c r="M178" s="774"/>
      <c r="N178" s="837"/>
      <c r="O178" s="9"/>
    </row>
    <row r="179" spans="2:20" ht="25" customHeight="1">
      <c r="B179" s="141" t="s">
        <v>452</v>
      </c>
      <c r="C179" s="136"/>
      <c r="D179" s="32"/>
      <c r="E179" s="32" t="s">
        <v>144</v>
      </c>
      <c r="F179" s="32"/>
      <c r="G179" s="32"/>
      <c r="H179" s="32"/>
      <c r="I179" s="32"/>
      <c r="J179" s="42"/>
      <c r="K179" s="607" t="s">
        <v>249</v>
      </c>
      <c r="M179" s="774"/>
      <c r="N179" s="837"/>
      <c r="O179" s="9"/>
    </row>
    <row r="180" spans="2:20" ht="25" customHeight="1">
      <c r="B180" s="109"/>
      <c r="C180" s="106"/>
      <c r="D180" s="428"/>
      <c r="E180" s="108"/>
      <c r="F180" s="881"/>
      <c r="G180" s="881"/>
      <c r="H180" s="881"/>
      <c r="I180" s="881"/>
      <c r="J180" s="882"/>
      <c r="K180" s="977"/>
      <c r="M180" s="774"/>
      <c r="N180" s="837"/>
      <c r="O180" s="9"/>
    </row>
    <row r="181" spans="2:20" ht="25" customHeight="1">
      <c r="B181" s="144"/>
      <c r="C181" s="137"/>
      <c r="D181" s="40"/>
      <c r="E181" s="33"/>
      <c r="F181" s="874"/>
      <c r="G181" s="883"/>
      <c r="H181" s="876"/>
      <c r="I181" s="588"/>
      <c r="M181" s="774"/>
      <c r="O181" s="10"/>
    </row>
    <row r="182" spans="2:20" ht="25" customHeight="1">
      <c r="B182" s="448"/>
      <c r="C182" s="28"/>
      <c r="D182" s="28"/>
      <c r="E182" s="28"/>
      <c r="F182" s="856"/>
      <c r="G182" s="857"/>
      <c r="H182" s="28"/>
      <c r="I182" s="835"/>
      <c r="J182" s="835"/>
      <c r="K182" s="963"/>
      <c r="L182" s="837"/>
      <c r="M182" s="774"/>
      <c r="N182" s="752"/>
      <c r="O182" s="752"/>
    </row>
    <row r="183" spans="2:20" s="6" customFormat="1" ht="25" customHeight="1">
      <c r="B183" s="1072" t="s">
        <v>245</v>
      </c>
      <c r="C183" s="1072"/>
      <c r="D183" s="1072"/>
      <c r="E183" s="1072"/>
      <c r="F183" s="1072"/>
      <c r="G183" s="1072"/>
      <c r="H183" s="884"/>
      <c r="J183" s="749"/>
      <c r="K183" s="950"/>
      <c r="M183" s="774"/>
    </row>
    <row r="184" spans="2:20" s="6" customFormat="1" ht="25" customHeight="1">
      <c r="B184" s="1072"/>
      <c r="C184" s="1072"/>
      <c r="D184" s="1072"/>
      <c r="E184" s="1072"/>
      <c r="F184" s="1072"/>
      <c r="G184" s="1072"/>
      <c r="H184" s="884"/>
      <c r="J184" s="749"/>
      <c r="K184" s="950"/>
      <c r="M184" s="774"/>
    </row>
    <row r="185" spans="2:20" s="6" customFormat="1" ht="25" customHeight="1">
      <c r="B185" s="1072"/>
      <c r="C185" s="1072"/>
      <c r="D185" s="1072"/>
      <c r="E185" s="1072"/>
      <c r="F185" s="1072"/>
      <c r="G185" s="1072"/>
      <c r="H185" s="884"/>
      <c r="J185" s="749"/>
      <c r="K185" s="950"/>
      <c r="M185" s="774"/>
    </row>
    <row r="186" spans="2:20" s="6" customFormat="1" ht="25" customHeight="1">
      <c r="B186" s="1074" t="s">
        <v>550</v>
      </c>
      <c r="C186" s="1074"/>
      <c r="D186" s="1074"/>
      <c r="E186" s="1074"/>
      <c r="F186" s="1074"/>
      <c r="H186" s="884"/>
      <c r="J186" s="749"/>
      <c r="K186" s="950"/>
      <c r="M186" s="774"/>
    </row>
    <row r="187" spans="2:20" s="6" customFormat="1" ht="25" customHeight="1">
      <c r="B187" s="1075" t="s">
        <v>421</v>
      </c>
      <c r="C187" s="1075"/>
      <c r="D187" s="1075"/>
      <c r="E187" s="1075"/>
      <c r="F187" s="1075"/>
      <c r="G187" s="754"/>
      <c r="H187" s="755"/>
      <c r="I187" s="754"/>
      <c r="J187" s="756"/>
      <c r="K187" s="951"/>
      <c r="L187" s="754"/>
      <c r="M187" s="774"/>
    </row>
    <row r="188" spans="2:20" s="6" customFormat="1" ht="25" customHeight="1">
      <c r="B188" s="1013"/>
      <c r="C188" s="1011"/>
      <c r="D188" s="1011"/>
      <c r="E188" s="1011"/>
      <c r="F188" s="1011"/>
      <c r="G188" s="754"/>
      <c r="H188" s="755"/>
      <c r="I188" s="754"/>
      <c r="J188" s="756"/>
      <c r="K188" s="951"/>
      <c r="L188" s="754"/>
      <c r="M188" s="774"/>
    </row>
    <row r="189" spans="2:20" ht="25" customHeight="1">
      <c r="B189" s="716" t="s">
        <v>152</v>
      </c>
      <c r="C189" s="15"/>
      <c r="D189" s="15"/>
      <c r="F189" s="15"/>
      <c r="G189" s="15"/>
      <c r="H189" s="15"/>
      <c r="I189" s="15"/>
      <c r="J189" s="15"/>
      <c r="K189" s="978"/>
      <c r="L189" s="15"/>
      <c r="M189" s="774"/>
      <c r="O189" s="837"/>
      <c r="P189" s="837"/>
      <c r="Q189" s="9"/>
      <c r="S189" s="752"/>
      <c r="T189" s="752"/>
    </row>
    <row r="190" spans="2:20" ht="25" customHeight="1">
      <c r="B190" s="690" t="s">
        <v>546</v>
      </c>
      <c r="M190" s="765"/>
    </row>
    <row r="191" spans="2:20" ht="25" customHeight="1">
      <c r="B191" s="510" t="s">
        <v>208</v>
      </c>
      <c r="C191" s="25"/>
      <c r="D191" s="25" t="s">
        <v>220</v>
      </c>
      <c r="E191" s="1020"/>
      <c r="F191" s="26"/>
      <c r="G191" s="1015"/>
      <c r="H191" s="1015"/>
      <c r="I191" s="25" t="s">
        <v>236</v>
      </c>
      <c r="J191" s="25"/>
      <c r="K191" s="674" t="s">
        <v>92</v>
      </c>
      <c r="L191" s="835"/>
      <c r="M191" s="774"/>
      <c r="N191" s="837"/>
      <c r="O191" s="9"/>
      <c r="Q191" s="752"/>
      <c r="R191" s="752"/>
    </row>
    <row r="192" spans="2:20" ht="25" customHeight="1">
      <c r="B192" s="141" t="s">
        <v>522</v>
      </c>
      <c r="C192" s="136"/>
      <c r="D192" s="32" t="s">
        <v>422</v>
      </c>
      <c r="E192" s="42"/>
      <c r="F192" s="32"/>
      <c r="G192" s="42"/>
      <c r="H192" s="42"/>
      <c r="I192" s="878" t="s">
        <v>94</v>
      </c>
      <c r="J192" s="878"/>
      <c r="K192" s="651">
        <v>0</v>
      </c>
      <c r="L192" s="835"/>
      <c r="M192" s="774"/>
      <c r="N192" s="837"/>
      <c r="O192" s="9"/>
      <c r="Q192" s="752"/>
      <c r="R192" s="752"/>
    </row>
    <row r="193" spans="2:18" ht="25" customHeight="1">
      <c r="B193" s="144" t="s">
        <v>523</v>
      </c>
      <c r="C193" s="137"/>
      <c r="D193" s="40" t="s">
        <v>156</v>
      </c>
      <c r="E193" s="33"/>
      <c r="F193" s="874"/>
      <c r="G193" s="883"/>
      <c r="H193" s="883"/>
      <c r="I193" s="876" t="s">
        <v>246</v>
      </c>
      <c r="J193" s="876"/>
      <c r="K193" s="1021" t="s">
        <v>540</v>
      </c>
      <c r="L193" s="835"/>
      <c r="M193" s="988" t="s">
        <v>553</v>
      </c>
      <c r="N193" s="837"/>
      <c r="O193" s="9"/>
      <c r="Q193" s="752"/>
      <c r="R193" s="752"/>
    </row>
    <row r="194" spans="2:18" ht="25" customHeight="1">
      <c r="B194" s="141" t="s">
        <v>524</v>
      </c>
      <c r="C194" s="136"/>
      <c r="D194" s="32" t="s">
        <v>160</v>
      </c>
      <c r="E194" s="136"/>
      <c r="F194" s="136"/>
      <c r="G194" s="136"/>
      <c r="H194" s="42"/>
      <c r="I194" s="873" t="s">
        <v>248</v>
      </c>
      <c r="J194" s="873"/>
      <c r="K194" s="651" t="s">
        <v>249</v>
      </c>
      <c r="L194" s="835"/>
      <c r="M194" s="774"/>
      <c r="N194" s="837"/>
      <c r="O194" s="9"/>
      <c r="Q194" s="752"/>
      <c r="R194" s="752"/>
    </row>
    <row r="195" spans="2:18" ht="25" customHeight="1">
      <c r="B195" s="109"/>
      <c r="C195" s="106"/>
      <c r="D195" s="106"/>
      <c r="E195" s="108"/>
      <c r="F195" s="881"/>
      <c r="G195" s="882"/>
      <c r="H195" s="882"/>
      <c r="I195" s="885"/>
      <c r="J195" s="885"/>
      <c r="K195" s="977"/>
      <c r="L195" s="835"/>
      <c r="M195" s="774"/>
      <c r="N195" s="837"/>
      <c r="O195" s="9"/>
      <c r="Q195" s="752"/>
      <c r="R195" s="752"/>
    </row>
    <row r="196" spans="2:18" ht="25" customHeight="1">
      <c r="B196" s="144"/>
      <c r="C196" s="137"/>
      <c r="D196" s="40"/>
      <c r="E196" s="33"/>
      <c r="F196" s="874"/>
      <c r="G196" s="883"/>
      <c r="H196" s="883"/>
      <c r="I196" s="876"/>
      <c r="J196" s="876"/>
      <c r="K196" s="606"/>
      <c r="L196" s="835"/>
      <c r="M196" s="774"/>
      <c r="N196" s="837"/>
      <c r="O196" s="9"/>
      <c r="Q196" s="752"/>
      <c r="R196" s="752"/>
    </row>
    <row r="197" spans="2:18" s="718" customFormat="1" ht="25" customHeight="1">
      <c r="B197" s="716" t="s">
        <v>251</v>
      </c>
      <c r="C197" s="1004"/>
      <c r="D197" s="1004"/>
      <c r="F197" s="1004"/>
      <c r="G197" s="1004"/>
      <c r="H197" s="1004"/>
      <c r="I197" s="1005"/>
      <c r="J197" s="1005"/>
      <c r="K197" s="789"/>
      <c r="L197" s="1006"/>
      <c r="M197" s="1007"/>
      <c r="N197" s="1008"/>
      <c r="O197" s="1009"/>
      <c r="Q197" s="1009"/>
      <c r="R197" s="1009"/>
    </row>
    <row r="198" spans="2:18" ht="25" customHeight="1">
      <c r="B198" s="690" t="s">
        <v>547</v>
      </c>
      <c r="M198" s="765"/>
    </row>
    <row r="199" spans="2:18" ht="25" customHeight="1">
      <c r="B199" s="510" t="s">
        <v>208</v>
      </c>
      <c r="C199" s="25"/>
      <c r="D199" s="25" t="s">
        <v>220</v>
      </c>
      <c r="E199" s="1020"/>
      <c r="F199" s="26"/>
      <c r="G199" s="1015"/>
      <c r="H199" s="1015"/>
      <c r="I199" s="25" t="s">
        <v>236</v>
      </c>
      <c r="J199" s="25"/>
      <c r="K199" s="674" t="s">
        <v>92</v>
      </c>
      <c r="L199" s="835"/>
      <c r="M199" s="774"/>
      <c r="N199" s="837"/>
      <c r="O199" s="9"/>
      <c r="Q199" s="752"/>
      <c r="R199" s="752"/>
    </row>
    <row r="200" spans="2:18" ht="25" customHeight="1">
      <c r="B200" s="141" t="s">
        <v>525</v>
      </c>
      <c r="C200" s="136"/>
      <c r="D200" s="32" t="s">
        <v>166</v>
      </c>
      <c r="E200" s="42"/>
      <c r="F200" s="32"/>
      <c r="G200" s="42"/>
      <c r="H200" s="42"/>
      <c r="I200" s="873" t="s">
        <v>248</v>
      </c>
      <c r="J200" s="873"/>
      <c r="K200" s="989">
        <f>PS_consult.jun_SEK</f>
        <v>1127</v>
      </c>
      <c r="L200" s="835"/>
      <c r="M200" s="774"/>
      <c r="N200" s="837"/>
      <c r="O200" s="9"/>
      <c r="Q200" s="752"/>
      <c r="R200" s="752"/>
    </row>
    <row r="201" spans="2:18" ht="25" customHeight="1">
      <c r="B201" s="144" t="s">
        <v>526</v>
      </c>
      <c r="C201" s="137"/>
      <c r="D201" s="40" t="s">
        <v>168</v>
      </c>
      <c r="E201" s="33"/>
      <c r="F201" s="874"/>
      <c r="G201" s="883"/>
      <c r="H201" s="883"/>
      <c r="I201" s="876" t="s">
        <v>248</v>
      </c>
      <c r="J201" s="876"/>
      <c r="K201" s="990">
        <f>PS_consult.sen_SEK</f>
        <v>1374</v>
      </c>
      <c r="L201" s="835"/>
      <c r="M201" s="774"/>
      <c r="N201" s="837"/>
      <c r="O201" s="9"/>
      <c r="Q201" s="752"/>
      <c r="R201" s="752"/>
    </row>
    <row r="202" spans="2:18" ht="25" customHeight="1">
      <c r="B202" s="141" t="s">
        <v>527</v>
      </c>
      <c r="C202" s="136"/>
      <c r="D202" s="32" t="s">
        <v>170</v>
      </c>
      <c r="E202" s="42"/>
      <c r="F202" s="32"/>
      <c r="G202" s="42"/>
      <c r="H202" s="42"/>
      <c r="I202" s="873" t="s">
        <v>248</v>
      </c>
      <c r="J202" s="873"/>
      <c r="K202" s="989">
        <f>PS_cloudarch.jun_SEK</f>
        <v>1277</v>
      </c>
      <c r="L202" s="835"/>
      <c r="M202" s="774"/>
      <c r="N202" s="837"/>
      <c r="O202" s="9"/>
      <c r="Q202" s="752"/>
      <c r="R202" s="752"/>
    </row>
    <row r="203" spans="2:18" ht="25" customHeight="1">
      <c r="B203" s="144" t="s">
        <v>528</v>
      </c>
      <c r="C203" s="137"/>
      <c r="D203" s="40" t="s">
        <v>172</v>
      </c>
      <c r="E203" s="40"/>
      <c r="F203" s="40"/>
      <c r="G203" s="883"/>
      <c r="H203" s="883"/>
      <c r="I203" s="876" t="s">
        <v>248</v>
      </c>
      <c r="J203" s="876"/>
      <c r="K203" s="990">
        <f>PS_cloudarch.sen_SEK</f>
        <v>1374</v>
      </c>
      <c r="L203" s="835"/>
      <c r="M203" s="774"/>
      <c r="N203" s="837"/>
      <c r="O203" s="9"/>
      <c r="Q203" s="752"/>
      <c r="R203" s="752"/>
    </row>
    <row r="204" spans="2:18" ht="25" customHeight="1">
      <c r="B204" s="141" t="s">
        <v>529</v>
      </c>
      <c r="C204" s="136"/>
      <c r="D204" s="32" t="s">
        <v>174</v>
      </c>
      <c r="E204" s="42"/>
      <c r="F204" s="32"/>
      <c r="G204" s="42"/>
      <c r="H204" s="42"/>
      <c r="I204" s="873" t="s">
        <v>248</v>
      </c>
      <c r="J204" s="873"/>
      <c r="K204" s="989">
        <f>PS_pm.jun_SEK</f>
        <v>1139</v>
      </c>
      <c r="L204" s="835"/>
      <c r="M204" s="774"/>
      <c r="N204" s="837"/>
      <c r="O204" s="9"/>
      <c r="Q204" s="752"/>
      <c r="R204" s="752"/>
    </row>
    <row r="205" spans="2:18" ht="25" customHeight="1">
      <c r="B205" s="144" t="s">
        <v>530</v>
      </c>
      <c r="C205" s="137"/>
      <c r="D205" s="40" t="s">
        <v>176</v>
      </c>
      <c r="E205" s="33"/>
      <c r="F205" s="874"/>
      <c r="G205" s="883"/>
      <c r="H205" s="883"/>
      <c r="I205" s="876" t="s">
        <v>248</v>
      </c>
      <c r="J205" s="876"/>
      <c r="K205" s="990">
        <f>PS_pm.sen_SEK</f>
        <v>1374</v>
      </c>
      <c r="L205" s="835"/>
      <c r="M205" s="774"/>
      <c r="N205" s="837"/>
      <c r="O205" s="9"/>
      <c r="Q205" s="752"/>
      <c r="R205" s="752"/>
    </row>
    <row r="206" spans="2:18" ht="25" customHeight="1">
      <c r="B206" s="109"/>
      <c r="C206" s="106"/>
      <c r="D206" s="428"/>
      <c r="E206" s="108"/>
      <c r="F206" s="881"/>
      <c r="G206" s="882"/>
      <c r="H206" s="882"/>
      <c r="I206" s="885"/>
      <c r="J206" s="885"/>
      <c r="K206" s="977"/>
      <c r="L206" s="835"/>
      <c r="M206" s="774"/>
      <c r="N206" s="837"/>
      <c r="O206" s="9"/>
      <c r="Q206" s="752"/>
      <c r="R206" s="752"/>
    </row>
    <row r="207" spans="2:18" ht="25" customHeight="1">
      <c r="B207" s="144"/>
      <c r="C207" s="137"/>
      <c r="D207" s="40"/>
      <c r="E207" s="33"/>
      <c r="F207" s="874"/>
      <c r="G207" s="883"/>
      <c r="H207" s="883"/>
      <c r="I207" s="876"/>
      <c r="J207" s="876"/>
      <c r="K207" s="606"/>
      <c r="M207" s="774"/>
      <c r="N207" s="837"/>
      <c r="O207" s="9"/>
    </row>
    <row r="208" spans="2:18" ht="25" customHeight="1">
      <c r="B208" s="716" t="s">
        <v>252</v>
      </c>
      <c r="C208" s="15"/>
      <c r="D208" s="15"/>
      <c r="F208" s="15"/>
      <c r="G208" s="15"/>
      <c r="H208" s="15"/>
      <c r="I208" s="879"/>
      <c r="J208" s="879"/>
      <c r="K208" s="966"/>
      <c r="L208" s="835"/>
      <c r="M208" s="774"/>
      <c r="N208" s="837"/>
      <c r="O208" s="9"/>
      <c r="Q208" s="752"/>
      <c r="R208" s="752"/>
    </row>
    <row r="209" spans="1:18" ht="25" customHeight="1">
      <c r="B209" s="690" t="s">
        <v>548</v>
      </c>
      <c r="M209" s="765"/>
    </row>
    <row r="210" spans="1:18" ht="25" customHeight="1">
      <c r="B210" s="510" t="s">
        <v>208</v>
      </c>
      <c r="C210" s="25"/>
      <c r="D210" s="25" t="s">
        <v>220</v>
      </c>
      <c r="E210" s="1020"/>
      <c r="F210" s="26"/>
      <c r="G210" s="25" t="s">
        <v>253</v>
      </c>
      <c r="H210" s="25"/>
      <c r="I210" s="25" t="s">
        <v>236</v>
      </c>
      <c r="J210" s="25"/>
      <c r="K210" s="674" t="s">
        <v>92</v>
      </c>
      <c r="L210" s="835"/>
      <c r="M210" s="774"/>
      <c r="N210" s="837"/>
      <c r="O210" s="9"/>
      <c r="Q210" s="752"/>
      <c r="R210" s="752"/>
    </row>
    <row r="211" spans="1:18" ht="25" customHeight="1">
      <c r="B211" s="141" t="s">
        <v>531</v>
      </c>
      <c r="C211" s="136"/>
      <c r="D211" s="32" t="s">
        <v>254</v>
      </c>
      <c r="E211" s="42"/>
      <c r="F211" s="32"/>
      <c r="G211" s="873" t="s">
        <v>255</v>
      </c>
      <c r="H211" s="873"/>
      <c r="I211" s="873" t="s">
        <v>256</v>
      </c>
      <c r="J211" s="873"/>
      <c r="K211" s="651" t="s">
        <v>249</v>
      </c>
      <c r="L211" s="835"/>
      <c r="M211" s="774"/>
      <c r="N211" s="837"/>
      <c r="O211" s="9"/>
      <c r="Q211" s="752"/>
      <c r="R211" s="752"/>
    </row>
    <row r="212" spans="1:18" ht="25" customHeight="1">
      <c r="B212" s="144" t="s">
        <v>532</v>
      </c>
      <c r="C212" s="137"/>
      <c r="D212" s="40" t="s">
        <v>257</v>
      </c>
      <c r="E212" s="33"/>
      <c r="F212" s="874"/>
      <c r="G212" s="876" t="s">
        <v>255</v>
      </c>
      <c r="H212" s="876"/>
      <c r="I212" s="876" t="s">
        <v>256</v>
      </c>
      <c r="J212" s="876"/>
      <c r="K212" s="1021" t="s">
        <v>249</v>
      </c>
      <c r="L212" s="835"/>
      <c r="M212" s="774"/>
      <c r="N212" s="837"/>
      <c r="O212" s="9"/>
      <c r="Q212" s="752"/>
      <c r="R212" s="752"/>
    </row>
    <row r="213" spans="1:18" ht="25" customHeight="1">
      <c r="B213" s="141" t="s">
        <v>533</v>
      </c>
      <c r="C213" s="136"/>
      <c r="D213" s="32" t="s">
        <v>258</v>
      </c>
      <c r="E213" s="42"/>
      <c r="F213" s="32"/>
      <c r="G213" s="873" t="s">
        <v>259</v>
      </c>
      <c r="H213" s="873"/>
      <c r="I213" s="873" t="s">
        <v>256</v>
      </c>
      <c r="J213" s="873"/>
      <c r="K213" s="651" t="s">
        <v>249</v>
      </c>
      <c r="L213" s="835"/>
      <c r="M213" s="774"/>
      <c r="N213" s="837"/>
      <c r="O213" s="9"/>
      <c r="Q213" s="752"/>
      <c r="R213" s="752"/>
    </row>
    <row r="214" spans="1:18" ht="25" customHeight="1">
      <c r="B214" s="144" t="s">
        <v>534</v>
      </c>
      <c r="C214" s="137"/>
      <c r="D214" s="40" t="s">
        <v>260</v>
      </c>
      <c r="E214" s="33"/>
      <c r="F214" s="874"/>
      <c r="G214" s="876" t="s">
        <v>259</v>
      </c>
      <c r="H214" s="876"/>
      <c r="I214" s="876" t="s">
        <v>256</v>
      </c>
      <c r="J214" s="876"/>
      <c r="K214" s="1021" t="s">
        <v>249</v>
      </c>
      <c r="L214" s="835"/>
      <c r="M214" s="774"/>
      <c r="N214" s="837"/>
      <c r="O214" s="9"/>
      <c r="Q214" s="752"/>
      <c r="R214" s="752"/>
    </row>
    <row r="215" spans="1:18" ht="25" customHeight="1">
      <c r="B215" s="109"/>
      <c r="C215" s="106"/>
      <c r="D215" s="428"/>
      <c r="E215" s="108"/>
      <c r="F215" s="881"/>
      <c r="G215" s="882"/>
      <c r="H215" s="882"/>
      <c r="I215" s="882"/>
      <c r="J215" s="882"/>
      <c r="K215" s="977"/>
      <c r="L215" s="835"/>
      <c r="M215" s="774"/>
      <c r="N215" s="837"/>
      <c r="O215" s="9"/>
      <c r="Q215" s="752"/>
      <c r="R215" s="752"/>
    </row>
    <row r="216" spans="1:18" ht="25" customHeight="1">
      <c r="B216" s="448"/>
      <c r="C216" s="28"/>
      <c r="D216" s="28"/>
      <c r="E216" s="28"/>
      <c r="F216" s="856"/>
      <c r="G216" s="857"/>
      <c r="H216" s="835"/>
      <c r="I216" s="835"/>
      <c r="J216" s="835"/>
      <c r="K216" s="964"/>
      <c r="L216" s="837"/>
      <c r="M216" s="774"/>
      <c r="N216" s="752"/>
      <c r="O216" s="752"/>
    </row>
    <row r="217" spans="1:18" ht="25" customHeight="1">
      <c r="A217" s="870"/>
      <c r="B217" s="705"/>
      <c r="C217" s="62"/>
      <c r="D217" s="62"/>
      <c r="E217" s="62"/>
      <c r="F217" s="886"/>
      <c r="G217" s="887"/>
      <c r="H217" s="888"/>
      <c r="I217" s="889"/>
      <c r="J217" s="890"/>
      <c r="K217" s="979"/>
      <c r="L217" s="891"/>
      <c r="M217" s="774"/>
      <c r="N217" s="752"/>
      <c r="O217" s="752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706"/>
      <c r="C219" s="56"/>
      <c r="D219" s="56"/>
      <c r="E219" s="56"/>
      <c r="F219" s="892"/>
      <c r="G219" s="893"/>
      <c r="H219" s="894"/>
      <c r="I219" s="895"/>
      <c r="J219" s="896"/>
      <c r="K219" s="980"/>
      <c r="L219" s="3"/>
      <c r="M219" s="751"/>
    </row>
    <row r="220" spans="1:18" s="6" customFormat="1" ht="25" customHeight="1">
      <c r="A220" s="3"/>
      <c r="B220" s="706"/>
      <c r="C220" s="56"/>
      <c r="D220" s="56"/>
      <c r="E220" s="56"/>
      <c r="F220" s="892"/>
      <c r="G220" s="893"/>
      <c r="H220" s="894"/>
      <c r="I220" s="895"/>
      <c r="J220" s="896"/>
      <c r="K220" s="980"/>
      <c r="L220" s="3"/>
      <c r="M220" s="751"/>
    </row>
    <row r="221" spans="1:18" s="6" customFormat="1" ht="25" customHeight="1">
      <c r="A221" s="3"/>
      <c r="B221" s="1070" t="s">
        <v>261</v>
      </c>
      <c r="C221" s="1070"/>
      <c r="D221" s="1070"/>
      <c r="E221" s="1070"/>
      <c r="F221" s="1070"/>
      <c r="G221" s="1070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70"/>
      <c r="C222" s="1070"/>
      <c r="D222" s="1070"/>
      <c r="E222" s="1070"/>
      <c r="F222" s="1070"/>
      <c r="G222" s="1070"/>
      <c r="H222" s="739"/>
      <c r="I222" s="897"/>
      <c r="J222" s="3"/>
      <c r="K222" s="947"/>
      <c r="L222" s="3"/>
      <c r="M222" s="751"/>
    </row>
    <row r="223" spans="1:18" s="6" customFormat="1" ht="25" customHeight="1">
      <c r="A223" s="3"/>
      <c r="B223" s="1070"/>
      <c r="C223" s="1070"/>
      <c r="D223" s="1070"/>
      <c r="E223" s="1070"/>
      <c r="F223" s="1070"/>
      <c r="G223" s="1070"/>
      <c r="H223" s="739"/>
      <c r="I223" s="897"/>
      <c r="J223" s="3"/>
      <c r="K223" s="947"/>
      <c r="L223" s="3"/>
      <c r="M223" s="751"/>
    </row>
    <row r="224" spans="1:18" s="6" customFormat="1" ht="25" customHeight="1">
      <c r="A224" s="3"/>
      <c r="B224" s="1071" t="s">
        <v>421</v>
      </c>
      <c r="C224" s="1071"/>
      <c r="D224" s="1071"/>
      <c r="E224" s="1071"/>
      <c r="F224" s="1071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699"/>
      <c r="C225" s="64"/>
      <c r="D225" s="64"/>
      <c r="E225" s="64"/>
      <c r="F225" s="64"/>
      <c r="G225" s="3"/>
      <c r="H225" s="739"/>
      <c r="I225" s="897"/>
      <c r="J225" s="3"/>
      <c r="K225" s="947"/>
      <c r="L225" s="898"/>
      <c r="M225" s="758"/>
    </row>
    <row r="226" spans="1:20" s="6" customFormat="1" ht="25" customHeight="1">
      <c r="A226" s="3"/>
      <c r="B226" s="453" t="s">
        <v>535</v>
      </c>
      <c r="C226" s="64"/>
      <c r="D226" s="64"/>
      <c r="E226" s="64"/>
      <c r="F226" s="64"/>
      <c r="G226" s="3"/>
      <c r="H226" s="739"/>
      <c r="I226" s="897"/>
      <c r="J226" s="3"/>
      <c r="K226" s="947"/>
      <c r="L226" s="898"/>
      <c r="M226" s="758"/>
    </row>
    <row r="227" spans="1:20" s="6" customFormat="1" ht="25" customHeight="1">
      <c r="A227" s="3"/>
      <c r="B227" s="449" t="s">
        <v>202</v>
      </c>
      <c r="C227" s="64"/>
      <c r="D227" s="64"/>
      <c r="E227" s="64"/>
      <c r="F227" s="64"/>
      <c r="G227" s="3"/>
      <c r="H227" s="739"/>
      <c r="I227" s="3"/>
      <c r="J227" s="740"/>
      <c r="K227" s="947"/>
      <c r="L227" s="898"/>
      <c r="M227" s="758"/>
    </row>
    <row r="228" spans="1:20" s="6" customFormat="1" ht="25" customHeight="1">
      <c r="A228" s="3"/>
      <c r="B228" s="71" t="s">
        <v>193</v>
      </c>
      <c r="C228" s="69"/>
      <c r="D228" s="69"/>
      <c r="E228" s="69"/>
      <c r="F228" s="69"/>
      <c r="G228" s="898"/>
      <c r="H228" s="899"/>
      <c r="I228" s="898"/>
      <c r="J228" s="900"/>
      <c r="K228" s="981"/>
      <c r="L228" s="898"/>
      <c r="M228" s="758"/>
    </row>
    <row r="229" spans="1:20" s="804" customFormat="1" ht="25" customHeight="1">
      <c r="A229" s="901"/>
      <c r="B229" s="1010"/>
      <c r="C229" s="142"/>
      <c r="D229" s="142"/>
      <c r="E229" s="142"/>
      <c r="F229" s="142"/>
      <c r="G229" s="898"/>
      <c r="H229" s="899"/>
      <c r="I229" s="898"/>
      <c r="J229" s="900"/>
      <c r="K229" s="981"/>
      <c r="L229" s="901"/>
      <c r="M229" s="859"/>
      <c r="N229" s="902"/>
      <c r="O229" s="822"/>
      <c r="P229" s="822"/>
      <c r="Q229" s="822"/>
      <c r="R229" s="822"/>
      <c r="S229" s="822"/>
      <c r="T229" s="822"/>
    </row>
    <row r="230" spans="1:20" ht="25" customHeight="1">
      <c r="A230" s="903"/>
      <c r="B230" s="707" t="s">
        <v>536</v>
      </c>
      <c r="C230" s="58"/>
      <c r="D230" s="59"/>
      <c r="E230" s="58"/>
      <c r="F230" s="732"/>
      <c r="G230" s="732"/>
      <c r="H230" s="732"/>
      <c r="I230" s="58"/>
      <c r="J230" s="732" t="s">
        <v>261</v>
      </c>
      <c r="K230" s="982"/>
      <c r="L230" s="904"/>
      <c r="M230" s="768"/>
      <c r="N230" s="1022"/>
      <c r="O230" s="10"/>
    </row>
    <row r="231" spans="1:20" ht="25" customHeight="1">
      <c r="A231" s="903"/>
      <c r="B231" s="941" t="s">
        <v>4</v>
      </c>
      <c r="C231" s="728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3"/>
      <c r="E231" s="728"/>
      <c r="F231" s="728"/>
      <c r="G231" s="729"/>
      <c r="H231" s="905"/>
      <c r="I231" s="906"/>
      <c r="J231" s="733">
        <f>K64+K73+K55+K38+K82</f>
        <v>0</v>
      </c>
      <c r="K231" s="944"/>
      <c r="L231" s="903"/>
      <c r="M231" s="768"/>
      <c r="N231" s="1022"/>
      <c r="O231" s="10"/>
    </row>
    <row r="232" spans="1:20" ht="25" customHeight="1">
      <c r="A232" s="903"/>
      <c r="B232" s="534" t="s">
        <v>72</v>
      </c>
      <c r="C232" s="672" t="str">
        <f>K94&amp;" TB - S3"&amp;"     /     "&amp;K93&amp;" TB - Archive"</f>
        <v>0 TB - S3     /     0 TB - Archive</v>
      </c>
      <c r="D232" s="730"/>
      <c r="E232" s="730"/>
      <c r="F232" s="907"/>
      <c r="G232" s="908"/>
      <c r="H232" s="908"/>
      <c r="I232" s="909"/>
      <c r="J232" s="734">
        <f>K95</f>
        <v>0</v>
      </c>
      <c r="K232" s="944"/>
      <c r="L232" s="903"/>
      <c r="M232" s="768"/>
      <c r="N232" s="1022"/>
      <c r="O232" s="10"/>
    </row>
    <row r="233" spans="1:20" ht="25" customHeight="1">
      <c r="A233" s="903"/>
      <c r="B233" s="534" t="s">
        <v>86</v>
      </c>
      <c r="C233" s="143"/>
      <c r="D233" s="74"/>
      <c r="E233" s="75"/>
      <c r="F233" s="907"/>
      <c r="G233" s="908"/>
      <c r="H233" s="908"/>
      <c r="I233" s="909"/>
      <c r="J233" s="734">
        <f>K119</f>
        <v>0</v>
      </c>
      <c r="K233" s="944"/>
      <c r="L233" s="903"/>
      <c r="M233" s="768"/>
      <c r="N233" s="1022"/>
      <c r="O233" s="10"/>
    </row>
    <row r="234" spans="1:20" s="913" customFormat="1" ht="25" customHeight="1">
      <c r="A234" s="910"/>
      <c r="B234" s="506" t="s">
        <v>443</v>
      </c>
      <c r="C234" s="723" t="str">
        <f>IF(J131=1,"Fullt managerad tjänst - support vardagar 08:00-17:00",IF(J131=2,"Fullt managerad tjänst - support dygnet runt, alla dagar",""))</f>
        <v>Fullt managerad tjänst - support dygnet runt, alla dagar</v>
      </c>
      <c r="D234" s="35"/>
      <c r="E234" s="36"/>
      <c r="F234" s="37"/>
      <c r="G234" s="911"/>
      <c r="H234" s="911"/>
      <c r="I234" s="853"/>
      <c r="J234" s="471">
        <f>K133</f>
        <v>0</v>
      </c>
      <c r="K234" s="944"/>
      <c r="L234" s="910"/>
      <c r="M234" s="912"/>
    </row>
    <row r="235" spans="1:20" s="919" customFormat="1" ht="25" customHeight="1">
      <c r="A235" s="914"/>
      <c r="B235" s="731" t="s">
        <v>222</v>
      </c>
      <c r="C235" s="726"/>
      <c r="D235" s="727"/>
      <c r="E235" s="727"/>
      <c r="F235" s="915"/>
      <c r="G235" s="916"/>
      <c r="H235" s="916"/>
      <c r="I235" s="917"/>
      <c r="J235" s="735">
        <f>SUM(J231:J234)</f>
        <v>0</v>
      </c>
      <c r="K235" s="983"/>
      <c r="L235" s="914"/>
      <c r="M235" s="918"/>
    </row>
    <row r="236" spans="1:20" ht="25" customHeight="1">
      <c r="A236" s="903"/>
      <c r="B236" s="452"/>
      <c r="C236" s="61"/>
      <c r="D236" s="61"/>
      <c r="E236" s="61"/>
      <c r="F236" s="920"/>
      <c r="G236" s="921"/>
      <c r="H236" s="921"/>
      <c r="I236" s="922"/>
      <c r="J236" s="922"/>
      <c r="K236" s="984"/>
      <c r="L236" s="903"/>
      <c r="M236" s="768"/>
      <c r="O236" s="10"/>
    </row>
    <row r="237" spans="1:20" ht="25" customHeight="1">
      <c r="A237" s="903"/>
      <c r="B237" s="708"/>
      <c r="C237" s="32"/>
      <c r="D237" s="38"/>
      <c r="E237" s="39"/>
      <c r="F237" s="42"/>
      <c r="G237" s="589"/>
      <c r="H237" s="32"/>
      <c r="I237" s="877"/>
      <c r="J237" s="828"/>
      <c r="K237" s="944"/>
      <c r="L237" s="903"/>
      <c r="M237" s="768"/>
      <c r="O237" s="10"/>
    </row>
    <row r="238" spans="1:20" ht="25" customHeight="1">
      <c r="A238" s="923"/>
      <c r="B238" s="709"/>
      <c r="C238" s="44"/>
      <c r="D238" s="35"/>
      <c r="E238" s="36"/>
      <c r="F238" s="924"/>
      <c r="G238" s="911"/>
      <c r="H238" s="44"/>
      <c r="I238" s="925"/>
      <c r="J238" s="471"/>
      <c r="K238" s="650"/>
      <c r="L238" s="926"/>
      <c r="M238" s="768"/>
      <c r="O238" s="10"/>
    </row>
    <row r="239" spans="1:20" s="116" customFormat="1" ht="25" customHeight="1">
      <c r="B239" s="710"/>
      <c r="C239" s="112"/>
      <c r="D239" s="113"/>
      <c r="E239" s="114"/>
      <c r="F239" s="927"/>
      <c r="G239" s="928"/>
      <c r="H239" s="112"/>
      <c r="I239" s="929"/>
      <c r="J239" s="930"/>
      <c r="K239" s="985"/>
      <c r="L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116" customFormat="1" ht="25" customHeight="1"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</row>
    <row r="248" spans="1:23" s="116" customFormat="1" ht="25" customHeight="1"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</row>
    <row r="249" spans="1:23" s="934" customFormat="1" ht="25" customHeight="1">
      <c r="A249" s="116"/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  <c r="P249" s="116"/>
      <c r="Q249" s="116"/>
      <c r="R249" s="116"/>
      <c r="S249" s="116"/>
      <c r="T249" s="116"/>
      <c r="U249" s="116"/>
      <c r="V249" s="116"/>
      <c r="W249" s="116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0"/>
      <c r="C267" s="112"/>
      <c r="D267" s="112"/>
      <c r="E267" s="112"/>
      <c r="F267" s="931"/>
      <c r="G267" s="932"/>
      <c r="H267" s="933"/>
      <c r="I267" s="933"/>
      <c r="J267" s="933"/>
      <c r="K267" s="986"/>
      <c r="L267" s="930"/>
      <c r="M267" s="930"/>
      <c r="N267" s="930"/>
      <c r="O267" s="117"/>
    </row>
    <row r="268" spans="2:15" s="116" customFormat="1" ht="25" customHeight="1">
      <c r="B268" s="710"/>
      <c r="C268" s="112"/>
      <c r="D268" s="112"/>
      <c r="E268" s="112"/>
      <c r="F268" s="931"/>
      <c r="G268" s="932"/>
      <c r="H268" s="933"/>
      <c r="I268" s="933"/>
      <c r="J268" s="933"/>
      <c r="K268" s="986"/>
      <c r="L268" s="930"/>
      <c r="M268" s="930"/>
      <c r="N268" s="930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1"/>
      <c r="K315" s="987"/>
      <c r="M315" s="935"/>
      <c r="O315" s="117"/>
    </row>
    <row r="316" spans="2:15" s="116" customFormat="1" ht="25" customHeight="1">
      <c r="B316" s="711"/>
      <c r="K316" s="987"/>
      <c r="M316" s="935"/>
      <c r="O316" s="117"/>
    </row>
    <row r="317" spans="2:15" s="116" customFormat="1" ht="25" customHeight="1">
      <c r="B317" s="712"/>
      <c r="C317" s="117"/>
      <c r="D317" s="117"/>
      <c r="E317" s="117"/>
      <c r="F317" s="117"/>
      <c r="G317" s="117"/>
      <c r="H317" s="117"/>
      <c r="I317" s="117"/>
      <c r="J317" s="117"/>
      <c r="K317" s="986"/>
      <c r="L317" s="117"/>
      <c r="M317" s="936"/>
      <c r="O317" s="117"/>
    </row>
    <row r="318" spans="2:15" s="116" customFormat="1" ht="25" customHeight="1">
      <c r="B318" s="711"/>
      <c r="K318" s="987"/>
      <c r="M318" s="935"/>
      <c r="O318" s="117"/>
    </row>
    <row r="319" spans="2:15" s="116" customFormat="1" ht="25" customHeight="1">
      <c r="B319" s="711"/>
      <c r="K319" s="987"/>
      <c r="M319" s="935"/>
      <c r="O319" s="117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3"/>
      <c r="K329" s="953"/>
      <c r="M329" s="937"/>
      <c r="O329" s="938"/>
    </row>
    <row r="330" spans="2:15" s="1" customFormat="1" ht="25" customHeight="1">
      <c r="B330" s="713"/>
      <c r="K330" s="953"/>
      <c r="M330" s="937"/>
      <c r="O330" s="938"/>
    </row>
    <row r="331" spans="2:15" s="1" customFormat="1" ht="25" customHeight="1">
      <c r="B331" s="714"/>
      <c r="C331" s="40"/>
      <c r="D331" s="98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  <row r="621" spans="2:15" s="1" customFormat="1" ht="25" customHeight="1">
      <c r="B621" s="713"/>
      <c r="K621" s="953"/>
      <c r="M621" s="937"/>
      <c r="O621" s="938"/>
    </row>
    <row r="622" spans="2:15" s="1" customFormat="1" ht="25" customHeight="1">
      <c r="B622" s="713"/>
      <c r="K622" s="953"/>
      <c r="M622" s="937"/>
      <c r="O622" s="938"/>
    </row>
  </sheetData>
  <sheetProtection algorithmName="SHA-512" hashValue="qFgJk5ZEJKUpyY7I0kHQY/bE1ab9m88ccpHaZlnUj3FZowOtmG8qwArOBm5KxlVlXidkhOLt5sKqZhEpb+mBqw==" saltValue="igIthvNtsPtjjcY1LXcbrw==" spinCount="100000" sheet="1" objects="1" scenarios="1" selectLockedCells="1"/>
  <mergeCells count="44"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H100:I100"/>
    <mergeCell ref="H98:I98"/>
    <mergeCell ref="B4:C4"/>
    <mergeCell ref="B15:G17"/>
    <mergeCell ref="B19:F19"/>
    <mergeCell ref="B85:G87"/>
    <mergeCell ref="F98:G98"/>
    <mergeCell ref="D98:E98"/>
    <mergeCell ref="D100:E100"/>
    <mergeCell ref="F100:G100"/>
    <mergeCell ref="B24:E24"/>
    <mergeCell ref="B43:E43"/>
    <mergeCell ref="B58:E58"/>
    <mergeCell ref="B68:E68"/>
    <mergeCell ref="B221:G223"/>
    <mergeCell ref="B224:F224"/>
    <mergeCell ref="B137:G139"/>
    <mergeCell ref="B141:F141"/>
    <mergeCell ref="B183:G185"/>
    <mergeCell ref="B186:F186"/>
    <mergeCell ref="B187:F187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8" r:id="rId3" tooltip="Skicka ett mail till Safespring.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622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78"/>
      <c r="C4" s="1078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554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0</v>
      </c>
      <c r="C8" s="1016"/>
      <c r="D8" s="70" t="s">
        <v>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664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72" t="s">
        <v>4</v>
      </c>
      <c r="C15" s="1072"/>
      <c r="D15" s="1072"/>
      <c r="E15" s="1072"/>
      <c r="F15" s="1072"/>
      <c r="G15" s="1072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72"/>
      <c r="C16" s="1072"/>
      <c r="D16" s="1072"/>
      <c r="E16" s="1072"/>
      <c r="F16" s="1072"/>
      <c r="G16" s="1072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72"/>
      <c r="C17" s="1072"/>
      <c r="D17" s="1072"/>
      <c r="E17" s="1072"/>
      <c r="F17" s="1072"/>
      <c r="G17" s="1072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556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13" t="s">
        <v>6</v>
      </c>
      <c r="C19" s="1013"/>
      <c r="D19" s="1013"/>
      <c r="E19" s="1013"/>
      <c r="F19" s="1013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0" t="s">
        <v>565</v>
      </c>
      <c r="C20" s="76"/>
      <c r="D20" s="76"/>
      <c r="E20" s="76"/>
      <c r="F20" s="1011"/>
      <c r="G20" s="754"/>
      <c r="H20" s="755"/>
      <c r="I20" s="754"/>
      <c r="J20" s="756"/>
      <c r="K20" s="951"/>
      <c r="L20" s="842"/>
      <c r="M20" s="774"/>
      <c r="O20" s="752"/>
      <c r="P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557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94" t="s">
        <v>655</v>
      </c>
      <c r="C24" s="1094"/>
      <c r="D24" s="1094"/>
      <c r="E24" s="1094"/>
      <c r="F24" s="1094"/>
      <c r="M24" s="765"/>
    </row>
    <row r="25" spans="2:26" s="718" customFormat="1" ht="25" customHeight="1">
      <c r="B25" s="478" t="s">
        <v>9</v>
      </c>
      <c r="C25" s="13" t="s">
        <v>10</v>
      </c>
      <c r="D25" s="13" t="s">
        <v>11</v>
      </c>
      <c r="E25" s="1015" t="s">
        <v>559</v>
      </c>
      <c r="F25" s="1015" t="s">
        <v>13</v>
      </c>
      <c r="G25" s="1015" t="s">
        <v>560</v>
      </c>
      <c r="H25" s="766"/>
      <c r="I25" s="767" t="s">
        <v>561</v>
      </c>
      <c r="J25" s="766"/>
      <c r="K25" s="954" t="s">
        <v>17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466</v>
      </c>
      <c r="C26" s="99">
        <v>2</v>
      </c>
      <c r="D26" s="99">
        <v>4</v>
      </c>
      <c r="E26" s="104">
        <v>100</v>
      </c>
      <c r="F26" s="1023">
        <f t="shared" ref="F26:F37" si="0">G26/720</f>
        <v>6.533333333333334E-2</v>
      </c>
      <c r="G26" s="1023">
        <f t="shared" ref="G26:G37" si="1">C26*IAAS_vcpu_EUR+D26*IAAS_ram_EUR+E26*IAAS_nvme_EUR</f>
        <v>47.040000000000006</v>
      </c>
      <c r="H26" s="772"/>
      <c r="I26" s="773"/>
      <c r="J26" s="772"/>
      <c r="K26" s="102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467</v>
      </c>
      <c r="C27" s="100">
        <v>2</v>
      </c>
      <c r="D27" s="100">
        <v>4</v>
      </c>
      <c r="E27" s="720">
        <v>500</v>
      </c>
      <c r="F27" s="1024">
        <f t="shared" si="0"/>
        <v>0.11977777777777779</v>
      </c>
      <c r="G27" s="1024">
        <f t="shared" si="1"/>
        <v>86.240000000000009</v>
      </c>
      <c r="H27" s="777"/>
      <c r="I27" s="773"/>
      <c r="J27" s="777"/>
      <c r="K27" s="102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468</v>
      </c>
      <c r="C28" s="99">
        <v>2</v>
      </c>
      <c r="D28" s="99">
        <v>4</v>
      </c>
      <c r="E28" s="104">
        <v>1000</v>
      </c>
      <c r="F28" s="1023">
        <f t="shared" si="0"/>
        <v>0.18783333333333335</v>
      </c>
      <c r="G28" s="1023">
        <f t="shared" si="1"/>
        <v>135.24</v>
      </c>
      <c r="H28" s="772"/>
      <c r="I28" s="773"/>
      <c r="J28" s="772"/>
      <c r="K28" s="102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469</v>
      </c>
      <c r="C29" s="100">
        <v>4</v>
      </c>
      <c r="D29" s="100">
        <v>8</v>
      </c>
      <c r="E29" s="720">
        <v>100</v>
      </c>
      <c r="F29" s="1024">
        <f t="shared" si="0"/>
        <v>0.11705555555555555</v>
      </c>
      <c r="G29" s="1024">
        <f t="shared" si="1"/>
        <v>84.28</v>
      </c>
      <c r="H29" s="777"/>
      <c r="I29" s="773"/>
      <c r="J29" s="777"/>
      <c r="K29" s="1026">
        <f t="shared" si="2"/>
        <v>0</v>
      </c>
      <c r="M29" s="774"/>
      <c r="P29" s="759"/>
      <c r="R29" s="759"/>
    </row>
    <row r="30" spans="2:26" s="752" customFormat="1" ht="25" customHeight="1">
      <c r="B30" s="484" t="s">
        <v>470</v>
      </c>
      <c r="C30" s="99">
        <v>4</v>
      </c>
      <c r="D30" s="99">
        <v>8</v>
      </c>
      <c r="E30" s="104">
        <v>500</v>
      </c>
      <c r="F30" s="1023">
        <f t="shared" si="0"/>
        <v>0.17150000000000001</v>
      </c>
      <c r="G30" s="1023">
        <f t="shared" si="1"/>
        <v>123.48</v>
      </c>
      <c r="H30" s="772"/>
      <c r="I30" s="773"/>
      <c r="J30" s="772"/>
      <c r="K30" s="1025">
        <f t="shared" si="2"/>
        <v>0</v>
      </c>
      <c r="M30" s="774"/>
      <c r="P30" s="759"/>
      <c r="R30" s="759"/>
    </row>
    <row r="31" spans="2:26" s="752" customFormat="1" ht="25" customHeight="1">
      <c r="B31" s="485" t="s">
        <v>471</v>
      </c>
      <c r="C31" s="100">
        <v>4</v>
      </c>
      <c r="D31" s="100">
        <v>8</v>
      </c>
      <c r="E31" s="720">
        <v>1000</v>
      </c>
      <c r="F31" s="1024">
        <f t="shared" si="0"/>
        <v>0.23955555555555558</v>
      </c>
      <c r="G31" s="1024">
        <f t="shared" si="1"/>
        <v>172.48000000000002</v>
      </c>
      <c r="H31" s="777"/>
      <c r="I31" s="773"/>
      <c r="J31" s="777"/>
      <c r="K31" s="102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472</v>
      </c>
      <c r="C32" s="99">
        <v>8</v>
      </c>
      <c r="D32" s="99">
        <v>16</v>
      </c>
      <c r="E32" s="104">
        <v>100</v>
      </c>
      <c r="F32" s="1023">
        <f t="shared" si="0"/>
        <v>0.22050000000000003</v>
      </c>
      <c r="G32" s="1023">
        <f t="shared" si="1"/>
        <v>158.76000000000002</v>
      </c>
      <c r="H32" s="772"/>
      <c r="I32" s="773"/>
      <c r="J32" s="772"/>
      <c r="K32" s="1025">
        <f t="shared" si="2"/>
        <v>0</v>
      </c>
      <c r="M32" s="774"/>
      <c r="P32" s="759"/>
      <c r="R32" s="759"/>
    </row>
    <row r="33" spans="2:18" s="752" customFormat="1" ht="25" customHeight="1">
      <c r="B33" s="485" t="s">
        <v>473</v>
      </c>
      <c r="C33" s="100">
        <v>8</v>
      </c>
      <c r="D33" s="100">
        <v>16</v>
      </c>
      <c r="E33" s="720">
        <v>500</v>
      </c>
      <c r="F33" s="1024">
        <f t="shared" si="0"/>
        <v>0.27494444444444444</v>
      </c>
      <c r="G33" s="1024">
        <f t="shared" si="1"/>
        <v>197.96</v>
      </c>
      <c r="H33" s="777"/>
      <c r="I33" s="773"/>
      <c r="J33" s="777"/>
      <c r="K33" s="1026">
        <f t="shared" si="2"/>
        <v>0</v>
      </c>
      <c r="M33" s="774"/>
      <c r="P33" s="759"/>
      <c r="R33" s="759"/>
    </row>
    <row r="34" spans="2:18" s="752" customFormat="1" ht="25" customHeight="1">
      <c r="B34" s="484" t="s">
        <v>474</v>
      </c>
      <c r="C34" s="99">
        <v>8</v>
      </c>
      <c r="D34" s="99">
        <v>16</v>
      </c>
      <c r="E34" s="104">
        <v>1000</v>
      </c>
      <c r="F34" s="1023">
        <f t="shared" si="0"/>
        <v>0.34300000000000003</v>
      </c>
      <c r="G34" s="1023">
        <f t="shared" si="1"/>
        <v>246.96</v>
      </c>
      <c r="H34" s="772"/>
      <c r="I34" s="773"/>
      <c r="J34" s="772"/>
      <c r="K34" s="1025">
        <f t="shared" si="2"/>
        <v>0</v>
      </c>
      <c r="M34" s="774"/>
      <c r="P34" s="759"/>
      <c r="R34" s="759"/>
    </row>
    <row r="35" spans="2:18" s="752" customFormat="1" ht="25" customHeight="1">
      <c r="B35" s="485" t="s">
        <v>475</v>
      </c>
      <c r="C35" s="100">
        <v>16</v>
      </c>
      <c r="D35" s="100">
        <v>32</v>
      </c>
      <c r="E35" s="720">
        <v>100</v>
      </c>
      <c r="F35" s="1024">
        <f t="shared" si="0"/>
        <v>0.42738888888888893</v>
      </c>
      <c r="G35" s="1024">
        <f t="shared" si="1"/>
        <v>307.72000000000003</v>
      </c>
      <c r="H35" s="777"/>
      <c r="I35" s="773"/>
      <c r="J35" s="777"/>
      <c r="K35" s="1026">
        <f t="shared" si="2"/>
        <v>0</v>
      </c>
      <c r="M35" s="774"/>
      <c r="P35" s="759"/>
      <c r="R35" s="759"/>
    </row>
    <row r="36" spans="2:18" s="752" customFormat="1" ht="25" customHeight="1">
      <c r="B36" s="484" t="s">
        <v>476</v>
      </c>
      <c r="C36" s="99">
        <v>16</v>
      </c>
      <c r="D36" s="99">
        <v>32</v>
      </c>
      <c r="E36" s="104">
        <v>500</v>
      </c>
      <c r="F36" s="1023">
        <f t="shared" si="0"/>
        <v>0.48183333333333334</v>
      </c>
      <c r="G36" s="1023">
        <f t="shared" si="1"/>
        <v>346.92</v>
      </c>
      <c r="H36" s="772"/>
      <c r="I36" s="773"/>
      <c r="J36" s="772"/>
      <c r="K36" s="1025">
        <f t="shared" si="2"/>
        <v>0</v>
      </c>
      <c r="M36" s="774"/>
      <c r="P36" s="759"/>
      <c r="R36" s="759"/>
    </row>
    <row r="37" spans="2:18" s="752" customFormat="1" ht="25" customHeight="1">
      <c r="B37" s="485" t="s">
        <v>477</v>
      </c>
      <c r="C37" s="100">
        <v>16</v>
      </c>
      <c r="D37" s="100">
        <v>32</v>
      </c>
      <c r="E37" s="720">
        <v>1000</v>
      </c>
      <c r="F37" s="1024">
        <f t="shared" si="0"/>
        <v>0.54988888888888887</v>
      </c>
      <c r="G37" s="1024">
        <f t="shared" si="1"/>
        <v>395.92</v>
      </c>
      <c r="H37" s="777"/>
      <c r="I37" s="773"/>
      <c r="J37" s="777"/>
      <c r="K37" s="1026">
        <f t="shared" si="2"/>
        <v>0</v>
      </c>
      <c r="M37" s="774"/>
      <c r="P37" s="759"/>
      <c r="R37" s="759"/>
    </row>
    <row r="38" spans="2:18" s="998" customFormat="1" ht="25" customHeight="1">
      <c r="B38" s="994" t="s">
        <v>30</v>
      </c>
      <c r="C38" s="995" cm="1">
        <f t="array" ref="C38">SUM(C26:C37*I26:I37)</f>
        <v>0</v>
      </c>
      <c r="D38" s="995" cm="1">
        <f t="array" ref="D38">SUM(D26:D37*I26:I37)</f>
        <v>0</v>
      </c>
      <c r="E38" s="1028" cm="1">
        <f t="array" ref="E38">SUM(E26:E37*I26:I37)</f>
        <v>0</v>
      </c>
      <c r="F38" s="995"/>
      <c r="G38" s="995"/>
      <c r="H38" s="995"/>
      <c r="I38" s="995">
        <f>SUM(I26:I37)</f>
        <v>0</v>
      </c>
      <c r="J38" s="995"/>
      <c r="K38" s="1027">
        <f>SUM(K26:K37)</f>
        <v>0</v>
      </c>
      <c r="M38" s="999"/>
      <c r="P38" s="1000"/>
      <c r="R38" s="1000"/>
    </row>
    <row r="39" spans="2:18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8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8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8" s="718" customFormat="1" ht="25" customHeight="1">
      <c r="B42" s="719" t="s">
        <v>611</v>
      </c>
      <c r="C42" s="717"/>
      <c r="D42" s="717"/>
      <c r="I42" s="788"/>
      <c r="J42" s="788"/>
      <c r="K42" s="959"/>
      <c r="M42" s="790"/>
    </row>
    <row r="43" spans="2:18" ht="25" customHeight="1">
      <c r="B43" s="1094" t="s">
        <v>655</v>
      </c>
      <c r="C43" s="1094"/>
      <c r="D43" s="1094"/>
      <c r="E43" s="1094"/>
      <c r="F43" s="1094"/>
      <c r="M43" s="765"/>
    </row>
    <row r="44" spans="2:18" s="718" customFormat="1" ht="25" customHeight="1">
      <c r="B44" s="478" t="s">
        <v>9</v>
      </c>
      <c r="C44" s="13" t="s">
        <v>10</v>
      </c>
      <c r="D44" s="13" t="s">
        <v>11</v>
      </c>
      <c r="E44" s="1015" t="s">
        <v>559</v>
      </c>
      <c r="F44" s="1015" t="s">
        <v>13</v>
      </c>
      <c r="G44" s="1015" t="s">
        <v>560</v>
      </c>
      <c r="H44" s="766"/>
      <c r="I44" s="767" t="s">
        <v>561</v>
      </c>
      <c r="J44" s="766"/>
      <c r="K44" s="954" t="s">
        <v>17</v>
      </c>
      <c r="M44" s="768"/>
      <c r="N44" s="10"/>
      <c r="O44" s="10"/>
      <c r="P44" s="759"/>
      <c r="Q44" s="759"/>
      <c r="R44" s="769"/>
    </row>
    <row r="45" spans="2:18" s="752" customFormat="1" ht="25" customHeight="1">
      <c r="B45" s="484" t="s">
        <v>478</v>
      </c>
      <c r="C45" s="99">
        <v>1</v>
      </c>
      <c r="D45" s="99">
        <v>2</v>
      </c>
      <c r="E45" s="724">
        <v>0</v>
      </c>
      <c r="F45" s="1023">
        <f t="shared" ref="F45:F54" si="3">G45/720</f>
        <v>2.5861111111111112E-2</v>
      </c>
      <c r="G45" s="1023">
        <f t="shared" ref="G45:G54" si="4">C45*IAAS_vcpu_EUR+D45*IAAS_ram_EUR+E45*IAAS_ssd_EUR</f>
        <v>18.62</v>
      </c>
      <c r="H45" s="772"/>
      <c r="I45" s="773"/>
      <c r="J45" s="772"/>
      <c r="K45" s="1025">
        <f t="shared" ref="K45:K54" si="5">ROUNDUP(I45*G45,2)</f>
        <v>0</v>
      </c>
      <c r="M45" s="774"/>
      <c r="N45" s="795"/>
      <c r="O45" s="796"/>
    </row>
    <row r="46" spans="2:18" s="752" customFormat="1" ht="25" customHeight="1">
      <c r="B46" s="485" t="s">
        <v>479</v>
      </c>
      <c r="C46" s="100">
        <v>1</v>
      </c>
      <c r="D46" s="100">
        <v>4</v>
      </c>
      <c r="E46" s="725">
        <v>0</v>
      </c>
      <c r="F46" s="1024">
        <f t="shared" si="3"/>
        <v>4.083333333333334E-2</v>
      </c>
      <c r="G46" s="1024">
        <f t="shared" si="4"/>
        <v>29.400000000000002</v>
      </c>
      <c r="H46" s="777"/>
      <c r="I46" s="773"/>
      <c r="J46" s="777"/>
      <c r="K46" s="1026">
        <f t="shared" si="5"/>
        <v>0</v>
      </c>
      <c r="L46" s="797"/>
      <c r="M46" s="774"/>
      <c r="N46" s="795"/>
      <c r="O46" s="796"/>
    </row>
    <row r="47" spans="2:18" s="752" customFormat="1" ht="25" customHeight="1">
      <c r="B47" s="484" t="s">
        <v>480</v>
      </c>
      <c r="C47" s="99">
        <v>2</v>
      </c>
      <c r="D47" s="99">
        <v>4</v>
      </c>
      <c r="E47" s="724">
        <v>0</v>
      </c>
      <c r="F47" s="1023">
        <f t="shared" si="3"/>
        <v>5.1722222222222225E-2</v>
      </c>
      <c r="G47" s="1023">
        <f t="shared" si="4"/>
        <v>37.24</v>
      </c>
      <c r="H47" s="772"/>
      <c r="I47" s="773"/>
      <c r="J47" s="772"/>
      <c r="K47" s="1025">
        <f t="shared" si="5"/>
        <v>0</v>
      </c>
      <c r="L47" s="797"/>
      <c r="M47" s="774"/>
      <c r="N47" s="795"/>
      <c r="O47" s="796"/>
    </row>
    <row r="48" spans="2:18" s="752" customFormat="1" ht="25" customHeight="1">
      <c r="B48" s="485" t="s">
        <v>481</v>
      </c>
      <c r="C48" s="100">
        <v>2</v>
      </c>
      <c r="D48" s="100">
        <v>8</v>
      </c>
      <c r="E48" s="725">
        <v>0</v>
      </c>
      <c r="F48" s="1024">
        <f t="shared" si="3"/>
        <v>8.1666666666666679E-2</v>
      </c>
      <c r="G48" s="1024">
        <f t="shared" si="4"/>
        <v>58.800000000000004</v>
      </c>
      <c r="H48" s="777"/>
      <c r="I48" s="773"/>
      <c r="J48" s="777"/>
      <c r="K48" s="1026">
        <f t="shared" si="5"/>
        <v>0</v>
      </c>
      <c r="L48" s="797"/>
      <c r="M48" s="774"/>
      <c r="N48" s="795"/>
      <c r="O48" s="1064"/>
    </row>
    <row r="49" spans="1:20" s="752" customFormat="1" ht="25" customHeight="1">
      <c r="B49" s="484" t="s">
        <v>482</v>
      </c>
      <c r="C49" s="99">
        <v>4</v>
      </c>
      <c r="D49" s="99">
        <v>8</v>
      </c>
      <c r="E49" s="724">
        <v>0</v>
      </c>
      <c r="F49" s="1023">
        <f t="shared" si="3"/>
        <v>0.10344444444444445</v>
      </c>
      <c r="G49" s="1023">
        <f t="shared" si="4"/>
        <v>74.48</v>
      </c>
      <c r="H49" s="772"/>
      <c r="I49" s="773"/>
      <c r="J49" s="772"/>
      <c r="K49" s="102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483</v>
      </c>
      <c r="C50" s="100">
        <v>4</v>
      </c>
      <c r="D50" s="100">
        <v>16</v>
      </c>
      <c r="E50" s="725">
        <v>0</v>
      </c>
      <c r="F50" s="1024">
        <f t="shared" si="3"/>
        <v>0.16333333333333336</v>
      </c>
      <c r="G50" s="1024">
        <f t="shared" si="4"/>
        <v>117.60000000000001</v>
      </c>
      <c r="H50" s="777"/>
      <c r="I50" s="773"/>
      <c r="J50" s="777"/>
      <c r="K50" s="1026">
        <f t="shared" si="5"/>
        <v>0</v>
      </c>
      <c r="L50" s="797"/>
      <c r="M50" s="774"/>
    </row>
    <row r="51" spans="1:20" s="752" customFormat="1" ht="25" customHeight="1">
      <c r="B51" s="484" t="s">
        <v>484</v>
      </c>
      <c r="C51" s="99">
        <v>8</v>
      </c>
      <c r="D51" s="99">
        <v>16</v>
      </c>
      <c r="E51" s="724">
        <v>0</v>
      </c>
      <c r="F51" s="1023">
        <f t="shared" si="3"/>
        <v>0.2068888888888889</v>
      </c>
      <c r="G51" s="1023">
        <f t="shared" si="4"/>
        <v>148.96</v>
      </c>
      <c r="H51" s="772"/>
      <c r="I51" s="773"/>
      <c r="J51" s="772"/>
      <c r="K51" s="1025">
        <f t="shared" si="5"/>
        <v>0</v>
      </c>
      <c r="L51" s="797"/>
      <c r="M51" s="774"/>
    </row>
    <row r="52" spans="1:20" s="752" customFormat="1" ht="25" customHeight="1">
      <c r="B52" s="485" t="s">
        <v>485</v>
      </c>
      <c r="C52" s="100">
        <v>8</v>
      </c>
      <c r="D52" s="100">
        <v>32</v>
      </c>
      <c r="E52" s="725">
        <v>0</v>
      </c>
      <c r="F52" s="1024">
        <f t="shared" si="3"/>
        <v>0.32666666666666672</v>
      </c>
      <c r="G52" s="1024">
        <f t="shared" si="4"/>
        <v>235.20000000000002</v>
      </c>
      <c r="H52" s="777"/>
      <c r="I52" s="773"/>
      <c r="J52" s="777"/>
      <c r="K52" s="1026">
        <f t="shared" si="5"/>
        <v>0</v>
      </c>
      <c r="L52" s="797"/>
      <c r="M52" s="774"/>
    </row>
    <row r="53" spans="1:20" s="752" customFormat="1" ht="25" customHeight="1">
      <c r="B53" s="484" t="s">
        <v>486</v>
      </c>
      <c r="C53" s="99">
        <v>16</v>
      </c>
      <c r="D53" s="99">
        <v>32</v>
      </c>
      <c r="E53" s="724">
        <v>0</v>
      </c>
      <c r="F53" s="1023">
        <f t="shared" si="3"/>
        <v>0.4137777777777778</v>
      </c>
      <c r="G53" s="1023">
        <f t="shared" si="4"/>
        <v>297.92</v>
      </c>
      <c r="H53" s="772"/>
      <c r="I53" s="773"/>
      <c r="J53" s="772"/>
      <c r="K53" s="102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487</v>
      </c>
      <c r="C54" s="100">
        <v>16</v>
      </c>
      <c r="D54" s="100">
        <v>64</v>
      </c>
      <c r="E54" s="725">
        <v>0</v>
      </c>
      <c r="F54" s="1024">
        <f t="shared" si="3"/>
        <v>0.65333333333333343</v>
      </c>
      <c r="G54" s="1024">
        <f t="shared" si="4"/>
        <v>470.40000000000003</v>
      </c>
      <c r="H54" s="777"/>
      <c r="I54" s="773"/>
      <c r="J54" s="777"/>
      <c r="K54" s="102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30</v>
      </c>
      <c r="C55" s="995" cm="1">
        <f t="array" ref="C55">SUM(b2_list_vCPU*b2_list_Antal_instanser)</f>
        <v>0</v>
      </c>
      <c r="D55" s="995" cm="1">
        <f t="array" ref="D55">SUM(b2_list_ram*b2_list_vCPU)</f>
        <v>0</v>
      </c>
      <c r="E55" s="1001" t="s">
        <v>94</v>
      </c>
      <c r="F55" s="995"/>
      <c r="G55" s="995"/>
      <c r="H55" s="995"/>
      <c r="I55" s="995">
        <f>SUM(I45:I54)</f>
        <v>0</v>
      </c>
      <c r="J55" s="995"/>
      <c r="K55" s="1030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463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0" t="s">
        <v>541</v>
      </c>
      <c r="C58" s="1080"/>
      <c r="D58" s="1080"/>
      <c r="E58" s="1080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438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488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3" si="6">H60/720</f>
        <v>9.6527777777777786</v>
      </c>
      <c r="H60" s="771">
        <f>C60*IAAS_vcpu_SEK+D60*IAAS_ram_SEK+E60*IAAS_nvme_SEK+F60*IAAS_gpu_SEK</f>
        <v>6950</v>
      </c>
      <c r="I60" s="1063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489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3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490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si="6"/>
        <v>38.611111111111114</v>
      </c>
      <c r="H62" s="771">
        <f>C62*IAAS_vcpu_SEK+D62*IAAS_ram_SEK+E62*IAAS_nvme_SEK+F62*IAAS_gpu_SEK</f>
        <v>27800</v>
      </c>
      <c r="I62" s="1063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491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6"/>
        <v>60.555555555555557</v>
      </c>
      <c r="H63" s="776">
        <f>C63*IAAS_vcpu_SEK+D63*IAAS_ram_SEK+E63*IAAS_nvme_SEK+F63*IAAS_gpu_SEK</f>
        <v>43600</v>
      </c>
      <c r="I63" s="1063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400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0" t="s">
        <v>541</v>
      </c>
      <c r="C68" s="1080"/>
      <c r="D68" s="1080"/>
      <c r="E68" s="1080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438</v>
      </c>
      <c r="H69" s="766"/>
      <c r="I69" s="767" t="s">
        <v>367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464</v>
      </c>
      <c r="C70" s="91">
        <v>16</v>
      </c>
      <c r="D70" s="91">
        <v>128</v>
      </c>
      <c r="E70" s="96">
        <v>3800</v>
      </c>
      <c r="F70" s="815">
        <f t="shared" ref="F70:F72" si="7">G70/720</f>
        <v>9.5</v>
      </c>
      <c r="G70" s="816">
        <f>INSTANCE_p1.2xlarge.16d_SEK</f>
        <v>6840</v>
      </c>
      <c r="H70" s="16"/>
      <c r="I70" s="1063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492</v>
      </c>
      <c r="C71" s="92">
        <v>32</v>
      </c>
      <c r="D71" s="92">
        <v>256</v>
      </c>
      <c r="E71" s="94">
        <v>3800</v>
      </c>
      <c r="F71" s="817">
        <f t="shared" si="7"/>
        <v>19</v>
      </c>
      <c r="G71" s="98">
        <f>INSTANCE_p1.4xlarge.16d_SEK</f>
        <v>13680</v>
      </c>
      <c r="H71" s="18"/>
      <c r="I71" s="1063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465</v>
      </c>
      <c r="C72" s="93">
        <v>64</v>
      </c>
      <c r="D72" s="93">
        <v>512</v>
      </c>
      <c r="E72" s="95">
        <v>7600</v>
      </c>
      <c r="F72" s="818">
        <f t="shared" si="7"/>
        <v>38</v>
      </c>
      <c r="G72" s="816">
        <f>INSTANCE_p1.8xlarge.32d_SEK</f>
        <v>27360</v>
      </c>
      <c r="H72" s="16"/>
      <c r="I72" s="1063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562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558</v>
      </c>
      <c r="M77" s="765"/>
    </row>
    <row r="78" spans="2:20" s="822" customFormat="1" ht="25" customHeight="1">
      <c r="B78" s="478" t="s">
        <v>9</v>
      </c>
      <c r="C78" s="26" t="s">
        <v>64</v>
      </c>
      <c r="D78" s="26"/>
      <c r="E78" s="26"/>
      <c r="F78" s="1020" t="s">
        <v>13</v>
      </c>
      <c r="G78" s="1015" t="s">
        <v>560</v>
      </c>
      <c r="H78" s="26"/>
      <c r="I78" s="820" t="s">
        <v>568</v>
      </c>
      <c r="J78" s="26"/>
      <c r="K78" s="674" t="s">
        <v>83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493</v>
      </c>
      <c r="C79" s="41" t="s">
        <v>68</v>
      </c>
      <c r="D79" s="80"/>
      <c r="E79" s="80"/>
      <c r="F79" s="1035">
        <f>G79/720</f>
        <v>1.6333333333333334E-4</v>
      </c>
      <c r="G79" s="1036">
        <f>VOLUME_large_EUR</f>
        <v>0.1176</v>
      </c>
      <c r="H79" s="825"/>
      <c r="I79" s="826"/>
      <c r="J79" s="827"/>
      <c r="K79" s="1031">
        <f>ROUNDUP(I79*G79,2)</f>
        <v>0</v>
      </c>
      <c r="L79" s="9"/>
      <c r="M79" s="774"/>
    </row>
    <row r="80" spans="2:20" s="752" customFormat="1" ht="25" customHeight="1">
      <c r="B80" s="488" t="s">
        <v>494</v>
      </c>
      <c r="C80" s="43" t="s">
        <v>71</v>
      </c>
      <c r="D80" s="81"/>
      <c r="E80" s="81"/>
      <c r="F80" s="1037">
        <f>G80/720</f>
        <v>4.8999999999999998E-4</v>
      </c>
      <c r="G80" s="1038">
        <f>VOLUME_fast_EUR</f>
        <v>0.3528</v>
      </c>
      <c r="H80" s="829"/>
      <c r="I80" s="831"/>
      <c r="J80" s="832"/>
      <c r="K80" s="1032">
        <f>ROUNDUP(I80*G80,2)</f>
        <v>0</v>
      </c>
      <c r="L80" s="9"/>
      <c r="M80" s="774"/>
      <c r="T80" s="759"/>
    </row>
    <row r="81" spans="2:20" s="752" customFormat="1" ht="25" customHeight="1">
      <c r="B81" s="141" t="s">
        <v>495</v>
      </c>
      <c r="C81" s="41" t="s">
        <v>435</v>
      </c>
      <c r="D81" s="80"/>
      <c r="E81" s="80"/>
      <c r="F81" s="1035">
        <f>G81/720</f>
        <v>1.6333333333333334E-4</v>
      </c>
      <c r="G81" s="1036">
        <f>VOLUME_large_EUR</f>
        <v>0.1176</v>
      </c>
      <c r="H81" s="833"/>
      <c r="I81" s="826"/>
      <c r="J81" s="827"/>
      <c r="K81" s="1031">
        <f>ROUNDUP(I81*G81,2)</f>
        <v>0</v>
      </c>
      <c r="L81" s="9"/>
      <c r="M81" s="774"/>
    </row>
    <row r="82" spans="2:20" s="998" customFormat="1" ht="25" customHeight="1">
      <c r="B82" s="994" t="s">
        <v>30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1029">
        <f>SUM(K79:K81)</f>
        <v>0</v>
      </c>
      <c r="M82" s="999"/>
      <c r="P82" s="1000"/>
      <c r="R82" s="1000"/>
    </row>
    <row r="83" spans="2:20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0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0" s="6" customFormat="1" ht="25" customHeight="1">
      <c r="B85" s="1072" t="s">
        <v>72</v>
      </c>
      <c r="C85" s="1072"/>
      <c r="D85" s="1072"/>
      <c r="E85" s="1072"/>
      <c r="F85" s="1072"/>
      <c r="G85" s="1072"/>
      <c r="H85" s="748"/>
      <c r="J85" s="749"/>
      <c r="K85" s="950"/>
      <c r="M85" s="751"/>
    </row>
    <row r="86" spans="2:20" s="6" customFormat="1" ht="25" customHeight="1">
      <c r="B86" s="1072"/>
      <c r="C86" s="1072"/>
      <c r="D86" s="1072"/>
      <c r="E86" s="1072"/>
      <c r="F86" s="1072"/>
      <c r="G86" s="1072"/>
      <c r="H86" s="748"/>
      <c r="J86" s="749"/>
      <c r="K86" s="950"/>
      <c r="M86" s="751"/>
    </row>
    <row r="87" spans="2:20" s="6" customFormat="1" ht="25" customHeight="1">
      <c r="B87" s="1072"/>
      <c r="C87" s="1072"/>
      <c r="D87" s="1072"/>
      <c r="E87" s="1072"/>
      <c r="F87" s="1072"/>
      <c r="G87" s="1072"/>
      <c r="H87" s="748"/>
      <c r="J87" s="749"/>
      <c r="K87" s="950"/>
      <c r="M87" s="751"/>
    </row>
    <row r="88" spans="2:20" s="6" customFormat="1" ht="25" customHeight="1">
      <c r="B88" s="1012" t="s">
        <v>563</v>
      </c>
      <c r="C88" s="1012"/>
      <c r="D88" s="1012"/>
      <c r="E88" s="1012"/>
      <c r="F88" s="1012"/>
      <c r="H88" s="748"/>
      <c r="J88" s="749"/>
      <c r="K88" s="950"/>
      <c r="M88" s="758"/>
    </row>
    <row r="89" spans="2:20" s="546" customFormat="1" ht="25" customHeight="1">
      <c r="B89" s="1013" t="s">
        <v>564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0" s="6" customFormat="1" ht="25" customHeight="1">
      <c r="B90" s="600" t="s">
        <v>565</v>
      </c>
      <c r="C90" s="76"/>
      <c r="D90" s="76"/>
      <c r="E90" s="76"/>
      <c r="F90" s="1011"/>
      <c r="G90" s="754"/>
      <c r="H90" s="755"/>
      <c r="I90" s="754"/>
      <c r="J90" s="756"/>
      <c r="K90" s="951"/>
      <c r="L90" s="842"/>
      <c r="M90" s="774"/>
      <c r="O90" s="752"/>
      <c r="P90" s="752"/>
    </row>
    <row r="91" spans="2:20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0" s="6" customFormat="1" ht="25" customHeight="1">
      <c r="B92" s="478" t="s">
        <v>9</v>
      </c>
      <c r="C92" s="12"/>
      <c r="D92" s="1015"/>
      <c r="E92" s="1015"/>
      <c r="F92" s="26"/>
      <c r="G92" s="1015" t="s">
        <v>566</v>
      </c>
      <c r="H92" s="26"/>
      <c r="I92" s="820" t="s">
        <v>567</v>
      </c>
      <c r="J92" s="1015"/>
      <c r="K92" s="674" t="s">
        <v>83</v>
      </c>
      <c r="L92" s="757"/>
      <c r="M92" s="774"/>
      <c r="N92" s="752"/>
    </row>
    <row r="93" spans="2:20" s="848" customFormat="1" ht="25" customHeight="1">
      <c r="B93" s="479" t="s">
        <v>538</v>
      </c>
      <c r="C93" s="80"/>
      <c r="D93" s="568"/>
      <c r="E93" s="568"/>
      <c r="F93" s="844"/>
      <c r="G93" s="1039">
        <f>S3_archive.50_EUR</f>
        <v>34.300000000000004</v>
      </c>
      <c r="H93" s="844"/>
      <c r="I93" s="845"/>
      <c r="J93" s="846"/>
      <c r="K93" s="1031">
        <f>I93*G93</f>
        <v>0</v>
      </c>
      <c r="L93" s="847"/>
      <c r="M93" s="774"/>
      <c r="N93" s="813"/>
    </row>
    <row r="94" spans="2:20" s="752" customFormat="1" ht="25" customHeight="1">
      <c r="B94" s="692" t="s">
        <v>496</v>
      </c>
      <c r="C94" s="43"/>
      <c r="D94" s="693"/>
      <c r="E94" s="693"/>
      <c r="F94" s="829"/>
      <c r="G94" s="1034">
        <f>S3_storage50_EUR</f>
        <v>49</v>
      </c>
      <c r="H94" s="830"/>
      <c r="I94" s="849"/>
      <c r="J94" s="832"/>
      <c r="K94" s="1032">
        <f>I94*G94</f>
        <v>0</v>
      </c>
      <c r="L94" s="9"/>
      <c r="M94" s="774"/>
      <c r="T94" s="759"/>
    </row>
    <row r="95" spans="2:20" s="998" customFormat="1" ht="25" customHeight="1">
      <c r="B95" s="994" t="s">
        <v>30</v>
      </c>
      <c r="C95" s="995"/>
      <c r="D95" s="995"/>
      <c r="E95" s="995"/>
      <c r="F95" s="995"/>
      <c r="G95" s="995"/>
      <c r="H95" s="995"/>
      <c r="I95" s="995"/>
      <c r="J95" s="995"/>
      <c r="K95" s="1029">
        <f>SUM(K93:K94)</f>
        <v>0</v>
      </c>
      <c r="M95" s="999"/>
      <c r="P95" s="1000"/>
      <c r="R95" s="1000"/>
    </row>
    <row r="96" spans="2:20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26" s="798" customFormat="1" ht="25" hidden="1" customHeight="1">
      <c r="B97" s="447" t="s">
        <v>423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26" s="6" customFormat="1" ht="25" hidden="1" customHeight="1">
      <c r="B98" s="478" t="s">
        <v>208</v>
      </c>
      <c r="C98" s="12" t="s">
        <v>224</v>
      </c>
      <c r="D98" s="1077" t="s">
        <v>225</v>
      </c>
      <c r="E98" s="1077"/>
      <c r="F98" s="1077"/>
      <c r="G98" s="1077"/>
      <c r="H98" s="1077"/>
      <c r="I98" s="1077"/>
      <c r="J98" s="1015"/>
      <c r="K98" s="674"/>
      <c r="L98" s="757"/>
      <c r="M98" s="801"/>
      <c r="N98" s="752"/>
    </row>
    <row r="99" spans="2:26" s="848" customFormat="1" ht="25" hidden="1" customHeight="1">
      <c r="B99" s="506" t="s">
        <v>424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5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26" s="6" customFormat="1" ht="25" hidden="1" customHeight="1">
      <c r="B100" s="665" t="s">
        <v>424</v>
      </c>
      <c r="C100" s="666" t="s">
        <v>430</v>
      </c>
      <c r="D100" s="1076">
        <f>S3_archive.50_SEK</f>
        <v>350</v>
      </c>
      <c r="E100" s="1076"/>
      <c r="F100" s="1076"/>
      <c r="G100" s="1076"/>
      <c r="H100" s="1076"/>
      <c r="I100" s="1076"/>
      <c r="J100" s="1014"/>
      <c r="K100" s="967"/>
      <c r="L100" s="757"/>
      <c r="M100" s="812"/>
      <c r="N100" s="752"/>
    </row>
    <row r="101" spans="2:26" s="6" customFormat="1" ht="25" hidden="1" customHeight="1">
      <c r="B101" s="677" t="s">
        <v>424</v>
      </c>
      <c r="C101" s="678" t="s">
        <v>431</v>
      </c>
      <c r="D101" s="1081">
        <f>S3_archive.100_SEK</f>
        <v>270</v>
      </c>
      <c r="E101" s="1081"/>
      <c r="F101" s="1081"/>
      <c r="G101" s="1081"/>
      <c r="H101" s="1081"/>
      <c r="I101" s="1081"/>
      <c r="J101" s="1018"/>
      <c r="K101" s="968"/>
      <c r="L101" s="757"/>
      <c r="M101" s="774"/>
      <c r="N101" s="752"/>
    </row>
    <row r="102" spans="2:26" s="6" customFormat="1" ht="25" hidden="1" customHeight="1">
      <c r="B102" s="665" t="s">
        <v>424</v>
      </c>
      <c r="C102" s="666" t="s">
        <v>432</v>
      </c>
      <c r="D102" s="1083">
        <f>S3_archive.500_SEK</f>
        <v>200</v>
      </c>
      <c r="E102" s="1083"/>
      <c r="F102" s="1083"/>
      <c r="G102" s="1083"/>
      <c r="H102" s="1083"/>
      <c r="I102" s="1083"/>
      <c r="J102" s="1019"/>
      <c r="K102" s="969"/>
      <c r="L102" s="757"/>
      <c r="M102" s="774"/>
      <c r="N102" s="752"/>
    </row>
    <row r="103" spans="2:26" s="6" customFormat="1" ht="25" hidden="1" customHeight="1">
      <c r="B103" s="677" t="s">
        <v>424</v>
      </c>
      <c r="C103" s="678" t="s">
        <v>433</v>
      </c>
      <c r="D103" s="1081">
        <f>S3_archive.1000_SEK</f>
        <v>185</v>
      </c>
      <c r="E103" s="1081"/>
      <c r="F103" s="1081"/>
      <c r="G103" s="1081"/>
      <c r="H103" s="1081"/>
      <c r="I103" s="1081"/>
      <c r="J103" s="1018"/>
      <c r="K103" s="968"/>
      <c r="L103" s="757"/>
      <c r="M103" s="774"/>
      <c r="N103" s="752"/>
    </row>
    <row r="104" spans="2:26" s="6" customFormat="1" ht="25" hidden="1" customHeight="1">
      <c r="B104" s="669" t="s">
        <v>424</v>
      </c>
      <c r="C104" s="670" t="s">
        <v>434</v>
      </c>
      <c r="D104" s="1082" t="str">
        <f>S3_archive.quote_SEK</f>
        <v>Be om offert</v>
      </c>
      <c r="E104" s="1082"/>
      <c r="F104" s="1082"/>
      <c r="G104" s="1082"/>
      <c r="H104" s="1082"/>
      <c r="I104" s="1082"/>
      <c r="J104" s="1017"/>
      <c r="K104" s="970"/>
      <c r="L104" s="757"/>
      <c r="M104" s="774"/>
      <c r="N104" s="752"/>
    </row>
    <row r="105" spans="2:26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26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26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26" s="6" customFormat="1" ht="25" customHeight="1">
      <c r="B108" s="1072" t="s">
        <v>86</v>
      </c>
      <c r="C108" s="1072"/>
      <c r="D108" s="1072"/>
      <c r="E108" s="1072"/>
      <c r="F108" s="1072"/>
      <c r="G108" s="1072"/>
      <c r="H108" s="748"/>
      <c r="J108" s="749"/>
      <c r="K108" s="950"/>
      <c r="L108" s="749"/>
      <c r="M108" s="751"/>
    </row>
    <row r="109" spans="2:26" s="6" customFormat="1" ht="25" customHeight="1">
      <c r="B109" s="1072"/>
      <c r="C109" s="1072"/>
      <c r="D109" s="1072"/>
      <c r="E109" s="1072"/>
      <c r="F109" s="1072"/>
      <c r="G109" s="1072"/>
      <c r="H109" s="748"/>
      <c r="J109" s="749"/>
      <c r="K109" s="950"/>
      <c r="L109" s="749"/>
      <c r="M109" s="751"/>
    </row>
    <row r="110" spans="2:26" s="6" customFormat="1" ht="25" customHeight="1">
      <c r="B110" s="1072"/>
      <c r="C110" s="1072"/>
      <c r="D110" s="1072"/>
      <c r="E110" s="1072"/>
      <c r="F110" s="1072"/>
      <c r="G110" s="1072"/>
      <c r="H110" s="748"/>
      <c r="J110" s="749"/>
      <c r="K110" s="950"/>
      <c r="L110" s="749"/>
      <c r="M110" s="751"/>
    </row>
    <row r="111" spans="2:26" s="6" customFormat="1" ht="25" customHeight="1">
      <c r="B111" s="1012" t="s">
        <v>539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26" s="6" customFormat="1" ht="25" customHeight="1">
      <c r="B112" s="1013" t="s">
        <v>6</v>
      </c>
      <c r="C112" s="1013"/>
      <c r="D112" s="1013"/>
      <c r="E112" s="1013"/>
      <c r="F112" s="1013"/>
      <c r="G112" s="754"/>
      <c r="H112" s="755"/>
      <c r="J112" s="756"/>
      <c r="K112" s="951"/>
      <c r="L112" s="757"/>
      <c r="M112" s="751"/>
      <c r="S112" s="752"/>
      <c r="T112" s="752"/>
      <c r="U112" s="752"/>
      <c r="V112" s="752"/>
      <c r="W112" s="752"/>
      <c r="X112" s="752"/>
      <c r="Y112" s="752"/>
      <c r="Z112" s="752"/>
    </row>
    <row r="113" spans="1:32" s="6" customFormat="1" ht="25" customHeight="1">
      <c r="B113" s="600" t="s">
        <v>565</v>
      </c>
      <c r="C113" s="76"/>
      <c r="D113" s="76"/>
      <c r="E113" s="76"/>
      <c r="F113" s="1011"/>
      <c r="G113" s="754"/>
      <c r="H113" s="755"/>
      <c r="I113" s="754"/>
      <c r="J113" s="756"/>
      <c r="K113" s="951"/>
      <c r="L113" s="842"/>
      <c r="M113" s="774"/>
      <c r="O113" s="752"/>
      <c r="P113" s="752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9</v>
      </c>
      <c r="C115" s="870"/>
      <c r="D115" s="870"/>
      <c r="E115" s="1015" t="s">
        <v>569</v>
      </c>
      <c r="F115" s="870"/>
      <c r="G115" s="1015" t="s">
        <v>570</v>
      </c>
      <c r="H115" s="26"/>
      <c r="I115" s="820" t="s">
        <v>568</v>
      </c>
      <c r="J115" s="820" t="s">
        <v>571</v>
      </c>
      <c r="K115" s="674" t="s">
        <v>612</v>
      </c>
      <c r="L115" s="814"/>
      <c r="M115" s="1066" t="s">
        <v>572</v>
      </c>
      <c r="O115" s="10"/>
    </row>
    <row r="116" spans="1:32" ht="25" customHeight="1">
      <c r="A116" s="722"/>
      <c r="B116" s="141" t="s">
        <v>497</v>
      </c>
      <c r="C116" s="80"/>
      <c r="D116" s="80"/>
      <c r="E116" s="31" t="s">
        <v>94</v>
      </c>
      <c r="F116" s="827"/>
      <c r="G116" s="1040">
        <f>BAAS_on.demand_EUR</f>
        <v>0.24010000000000004</v>
      </c>
      <c r="H116" s="827"/>
      <c r="I116" s="845"/>
      <c r="J116" s="1003" t="s">
        <v>94</v>
      </c>
      <c r="K116" s="1031">
        <f>ROUNDUP(I116*G116,2)</f>
        <v>0</v>
      </c>
      <c r="L116" s="814"/>
      <c r="M116" s="942" t="s">
        <v>573</v>
      </c>
      <c r="O116" s="10"/>
    </row>
    <row r="117" spans="1:32" ht="25" customHeight="1">
      <c r="A117" s="722"/>
      <c r="B117" s="144" t="s">
        <v>498</v>
      </c>
      <c r="C117" s="862"/>
      <c r="D117" s="862"/>
      <c r="E117" s="1050">
        <f>BAAS_small.fee_EUR</f>
        <v>539</v>
      </c>
      <c r="F117" s="832"/>
      <c r="G117" s="1041">
        <f>BAAS_small_EUR</f>
        <v>0.17150000000000001</v>
      </c>
      <c r="H117" s="832"/>
      <c r="I117" s="864"/>
      <c r="J117" s="865">
        <v>0.75</v>
      </c>
      <c r="K117" s="1032">
        <f>IF(I117&gt;0,$E$117+($G$117*(I117*(1-$J$117))),0)</f>
        <v>0</v>
      </c>
      <c r="L117" s="814"/>
      <c r="M117" s="943" t="s">
        <v>574</v>
      </c>
      <c r="O117" s="10"/>
    </row>
    <row r="118" spans="1:32" s="868" customFormat="1" ht="25" customHeight="1">
      <c r="A118" s="866"/>
      <c r="B118" s="506" t="s">
        <v>499</v>
      </c>
      <c r="C118" s="84"/>
      <c r="D118" s="84"/>
      <c r="E118" s="1051">
        <f>BAAS_large.fee_EUR</f>
        <v>931</v>
      </c>
      <c r="F118" s="853"/>
      <c r="G118" s="1040">
        <f>BAAS_large_EUR</f>
        <v>9.0160000000000004E-2</v>
      </c>
      <c r="H118" s="853"/>
      <c r="I118" s="852"/>
      <c r="J118" s="867">
        <v>0.75</v>
      </c>
      <c r="K118" s="633">
        <f>IF(I118&gt;0,$E$118+($G$118*(I118*(1-$J$118))),0)</f>
        <v>0</v>
      </c>
      <c r="L118" s="814"/>
      <c r="M118" s="942" t="s">
        <v>575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30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1029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72" t="s">
        <v>443</v>
      </c>
      <c r="C123" s="1072"/>
      <c r="D123" s="1072"/>
      <c r="E123" s="1072"/>
      <c r="F123" s="1072"/>
      <c r="G123" s="1072"/>
      <c r="H123" s="748"/>
      <c r="J123" s="749"/>
      <c r="K123" s="950"/>
      <c r="L123" s="749"/>
      <c r="M123" s="751"/>
    </row>
    <row r="124" spans="1:32" s="6" customFormat="1" ht="25" customHeight="1">
      <c r="B124" s="1072"/>
      <c r="C124" s="1072"/>
      <c r="D124" s="1072"/>
      <c r="E124" s="1072"/>
      <c r="F124" s="1072"/>
      <c r="G124" s="1072"/>
      <c r="H124" s="748"/>
      <c r="J124" s="749"/>
      <c r="K124" s="950"/>
      <c r="L124" s="749"/>
      <c r="M124" s="751"/>
    </row>
    <row r="125" spans="1:32" s="6" customFormat="1" ht="25" customHeight="1">
      <c r="B125" s="1072"/>
      <c r="C125" s="1072"/>
      <c r="D125" s="1072"/>
      <c r="E125" s="1072"/>
      <c r="F125" s="1072"/>
      <c r="G125" s="1072"/>
      <c r="H125" s="748"/>
      <c r="J125" s="749"/>
      <c r="K125" s="950"/>
      <c r="L125" s="749"/>
      <c r="M125" s="751"/>
    </row>
    <row r="126" spans="1:32" s="6" customFormat="1" ht="25" customHeight="1">
      <c r="B126" s="1012" t="s">
        <v>576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13" t="s">
        <v>6</v>
      </c>
      <c r="C127" s="1013"/>
      <c r="D127" s="1013"/>
      <c r="E127" s="1013"/>
      <c r="F127" s="1013"/>
      <c r="G127" s="754"/>
      <c r="H127" s="755"/>
      <c r="J127" s="756"/>
      <c r="K127" s="951"/>
      <c r="L127" s="757"/>
      <c r="M127" s="751"/>
      <c r="S127" s="752"/>
      <c r="T127" s="752"/>
      <c r="U127" s="752"/>
      <c r="V127" s="752"/>
      <c r="W127" s="752"/>
      <c r="X127" s="752"/>
      <c r="Y127" s="752"/>
      <c r="Z127" s="752"/>
    </row>
    <row r="128" spans="1:32" s="6" customFormat="1" ht="25" customHeight="1">
      <c r="B128" s="600" t="s">
        <v>565</v>
      </c>
      <c r="C128" s="76"/>
      <c r="D128" s="76"/>
      <c r="E128" s="76"/>
      <c r="F128" s="1011"/>
      <c r="G128" s="754"/>
      <c r="H128" s="755"/>
      <c r="I128" s="754"/>
      <c r="J128" s="756"/>
      <c r="K128" s="951"/>
      <c r="L128" s="842"/>
      <c r="M128" s="774"/>
      <c r="O128" s="752"/>
      <c r="P128" s="752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9</v>
      </c>
      <c r="C130" s="1084" t="s">
        <v>577</v>
      </c>
      <c r="D130" s="1084"/>
      <c r="E130" s="1084" t="s">
        <v>578</v>
      </c>
      <c r="F130" s="1084"/>
      <c r="G130" s="1093" t="s">
        <v>569</v>
      </c>
      <c r="H130" s="1093"/>
      <c r="I130" s="26"/>
      <c r="J130" s="26"/>
      <c r="K130" s="674" t="s">
        <v>92</v>
      </c>
      <c r="L130" s="814"/>
      <c r="M130" s="1067"/>
      <c r="O130" s="10"/>
    </row>
    <row r="131" spans="1:32" ht="25" customHeight="1">
      <c r="A131" s="722"/>
      <c r="B131" s="939" t="s">
        <v>500</v>
      </c>
      <c r="C131" s="1089" t="s">
        <v>582</v>
      </c>
      <c r="D131" s="1089"/>
      <c r="E131" s="1091" t="s">
        <v>581</v>
      </c>
      <c r="F131" s="1091"/>
      <c r="G131" s="1048">
        <f>PAAS_man.kubernetes_EUR</f>
        <v>2352</v>
      </c>
      <c r="H131" s="1046"/>
      <c r="I131" s="845"/>
      <c r="J131" s="1069">
        <v>2</v>
      </c>
      <c r="K131" s="1044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501</v>
      </c>
      <c r="C132" s="1090" t="s">
        <v>579</v>
      </c>
      <c r="D132" s="1090"/>
      <c r="E132" s="1092" t="s">
        <v>580</v>
      </c>
      <c r="F132" s="1092"/>
      <c r="G132" s="1049">
        <f>PAAS_man.kubernetes8_EUR</f>
        <v>1470</v>
      </c>
      <c r="H132" s="1047"/>
      <c r="I132" s="849"/>
      <c r="J132" s="832"/>
      <c r="K132" s="1045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30</v>
      </c>
      <c r="C133" s="995"/>
      <c r="D133" s="995"/>
      <c r="E133" s="995"/>
      <c r="F133" s="995"/>
      <c r="G133" s="995"/>
      <c r="H133" s="995"/>
      <c r="I133" s="1068"/>
      <c r="J133" s="995"/>
      <c r="K133" s="1029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72" t="s">
        <v>100</v>
      </c>
      <c r="C137" s="1072"/>
      <c r="D137" s="1072"/>
      <c r="E137" s="1072"/>
      <c r="F137" s="1072"/>
      <c r="G137" s="1072"/>
      <c r="H137" s="748"/>
      <c r="J137" s="749"/>
      <c r="K137" s="950"/>
      <c r="M137" s="774"/>
    </row>
    <row r="138" spans="1:32" s="6" customFormat="1" ht="25" customHeight="1">
      <c r="B138" s="1072"/>
      <c r="C138" s="1072"/>
      <c r="D138" s="1072"/>
      <c r="E138" s="1072"/>
      <c r="F138" s="1072"/>
      <c r="G138" s="1072"/>
      <c r="H138" s="748"/>
      <c r="J138" s="749"/>
      <c r="K138" s="950"/>
      <c r="M138" s="774"/>
    </row>
    <row r="139" spans="1:32" s="6" customFormat="1" ht="25" customHeight="1">
      <c r="B139" s="1072"/>
      <c r="C139" s="1072"/>
      <c r="D139" s="1072"/>
      <c r="E139" s="1072"/>
      <c r="F139" s="1072"/>
      <c r="G139" s="1072"/>
      <c r="H139" s="748"/>
      <c r="J139" s="749"/>
      <c r="K139" s="950"/>
      <c r="M139" s="774"/>
    </row>
    <row r="140" spans="1:32" s="6" customFormat="1" ht="25" customHeight="1">
      <c r="B140" s="1013" t="s">
        <v>6</v>
      </c>
      <c r="C140" s="1013"/>
      <c r="D140" s="1013"/>
      <c r="E140" s="1013"/>
      <c r="F140" s="1013"/>
      <c r="G140" s="754"/>
      <c r="H140" s="755"/>
      <c r="J140" s="756"/>
      <c r="K140" s="951"/>
      <c r="L140" s="757"/>
      <c r="M140" s="751"/>
      <c r="S140" s="752"/>
      <c r="T140" s="752"/>
      <c r="U140" s="752"/>
      <c r="V140" s="752"/>
      <c r="W140" s="752"/>
      <c r="X140" s="752"/>
      <c r="Y140" s="752"/>
      <c r="Z140" s="752"/>
    </row>
    <row r="141" spans="1:32" s="6" customFormat="1" ht="25" customHeight="1">
      <c r="B141" s="1073"/>
      <c r="C141" s="1073"/>
      <c r="D141" s="1073"/>
      <c r="E141" s="1073"/>
      <c r="F141" s="1073"/>
      <c r="G141" s="754"/>
      <c r="H141" s="755"/>
      <c r="I141" s="754"/>
      <c r="J141" s="756"/>
      <c r="K141" s="951"/>
      <c r="L141" s="754"/>
      <c r="M141" s="774"/>
    </row>
    <row r="142" spans="1:32" s="6" customFormat="1" ht="25" customHeight="1">
      <c r="B142" s="1013"/>
      <c r="C142" s="1011"/>
      <c r="D142" s="1011"/>
      <c r="E142" s="1011"/>
      <c r="F142" s="1011"/>
      <c r="G142" s="754"/>
      <c r="H142" s="755"/>
      <c r="I142" s="754"/>
      <c r="J142" s="756"/>
      <c r="K142" s="951"/>
      <c r="L142" s="754"/>
      <c r="M142" s="774"/>
    </row>
    <row r="143" spans="1:32" s="9" customFormat="1" ht="25" customHeight="1">
      <c r="B143" s="716" t="s">
        <v>101</v>
      </c>
      <c r="C143" s="1011"/>
      <c r="D143" s="1011"/>
      <c r="E143" s="1011"/>
      <c r="F143" s="1011"/>
      <c r="G143" s="754"/>
      <c r="H143" s="754"/>
      <c r="I143" s="754"/>
      <c r="J143" s="756"/>
      <c r="K143" s="951"/>
      <c r="L143" s="754"/>
      <c r="M143" s="774"/>
      <c r="N143" s="752"/>
      <c r="O143" s="752"/>
      <c r="P143" s="752"/>
      <c r="Q143" s="752"/>
      <c r="R143" s="752"/>
      <c r="S143" s="752"/>
    </row>
    <row r="144" spans="1:32" ht="25" customHeight="1">
      <c r="B144" s="690" t="s">
        <v>583</v>
      </c>
      <c r="M144" s="765"/>
    </row>
    <row r="145" spans="2:18" ht="25" customHeight="1">
      <c r="B145" s="510" t="s">
        <v>9</v>
      </c>
      <c r="C145" s="25" t="s">
        <v>102</v>
      </c>
      <c r="D145" s="25"/>
      <c r="E145" s="26" t="s">
        <v>64</v>
      </c>
      <c r="F145" s="26"/>
      <c r="G145" s="26"/>
      <c r="H145" s="26"/>
      <c r="I145" s="26"/>
      <c r="J145" s="25" t="s">
        <v>584</v>
      </c>
      <c r="K145" s="674" t="s">
        <v>14</v>
      </c>
      <c r="L145" s="15"/>
      <c r="M145" s="774"/>
      <c r="N145" s="837"/>
      <c r="O145" s="9"/>
    </row>
    <row r="146" spans="2:18" ht="25" customHeight="1">
      <c r="B146" s="141" t="s">
        <v>502</v>
      </c>
      <c r="C146" s="136" t="s">
        <v>105</v>
      </c>
      <c r="D146" s="136"/>
      <c r="E146" s="41" t="s">
        <v>106</v>
      </c>
      <c r="F146" s="32"/>
      <c r="G146" s="32"/>
      <c r="H146" s="32"/>
      <c r="I146" s="32"/>
      <c r="J146" s="873" t="s">
        <v>585</v>
      </c>
      <c r="K146" s="1052">
        <f>NET_publicv4_EUR</f>
        <v>2.4500000000000002</v>
      </c>
      <c r="L146" s="10"/>
      <c r="M146" s="774"/>
      <c r="N146" s="837"/>
      <c r="O146" s="9"/>
    </row>
    <row r="147" spans="2:18" ht="25" customHeight="1">
      <c r="B147" s="144" t="s">
        <v>503</v>
      </c>
      <c r="C147" s="137" t="s">
        <v>109</v>
      </c>
      <c r="D147" s="137"/>
      <c r="E147" s="43" t="s">
        <v>106</v>
      </c>
      <c r="F147" s="874"/>
      <c r="G147" s="874"/>
      <c r="H147" s="874"/>
      <c r="I147" s="874"/>
      <c r="J147" s="875" t="s">
        <v>94</v>
      </c>
      <c r="K147" s="1053">
        <f>NET_publicv6_EUR</f>
        <v>0</v>
      </c>
      <c r="L147" s="10"/>
      <c r="M147" s="774"/>
      <c r="N147" s="837"/>
      <c r="O147" s="9"/>
    </row>
    <row r="148" spans="2:18" ht="25" customHeight="1">
      <c r="B148" s="141" t="s">
        <v>504</v>
      </c>
      <c r="C148" s="136" t="s">
        <v>111</v>
      </c>
      <c r="D148" s="136"/>
      <c r="E148" s="155"/>
      <c r="F148" s="39"/>
      <c r="G148" s="39"/>
      <c r="H148" s="39"/>
      <c r="I148" s="39"/>
      <c r="J148" s="873" t="s">
        <v>69</v>
      </c>
      <c r="K148" s="1052">
        <f>NET_ingress_EUR</f>
        <v>0</v>
      </c>
      <c r="L148" s="10"/>
      <c r="M148" s="774"/>
      <c r="N148" s="837"/>
      <c r="O148" s="9"/>
    </row>
    <row r="149" spans="2:18" ht="25" customHeight="1">
      <c r="B149" s="144" t="s">
        <v>505</v>
      </c>
      <c r="C149" s="137" t="s">
        <v>111</v>
      </c>
      <c r="D149" s="137"/>
      <c r="E149" s="43" t="s">
        <v>587</v>
      </c>
      <c r="F149" s="874"/>
      <c r="G149" s="874"/>
      <c r="H149" s="874"/>
      <c r="I149" s="874"/>
      <c r="J149" s="876" t="s">
        <v>69</v>
      </c>
      <c r="K149" s="1053">
        <f>NET_egress_EUR</f>
        <v>2.4500000000000001E-2</v>
      </c>
      <c r="L149" s="10"/>
      <c r="M149" s="774"/>
      <c r="N149" s="837"/>
      <c r="O149" s="9"/>
    </row>
    <row r="150" spans="2:18" ht="25" customHeight="1">
      <c r="B150" s="141" t="s">
        <v>506</v>
      </c>
      <c r="C150" s="136" t="s">
        <v>115</v>
      </c>
      <c r="D150" s="136"/>
      <c r="E150" s="32" t="s">
        <v>586</v>
      </c>
      <c r="F150" s="39"/>
      <c r="G150" s="39"/>
      <c r="H150" s="39"/>
      <c r="I150" s="39"/>
      <c r="J150" s="873" t="s">
        <v>116</v>
      </c>
      <c r="K150" s="1033" t="str">
        <f>NET_mgn.slb_EUR</f>
        <v>Request a quote</v>
      </c>
      <c r="M150" s="774"/>
    </row>
    <row r="151" spans="2:18" ht="25" customHeight="1">
      <c r="B151" s="144" t="s">
        <v>507</v>
      </c>
      <c r="C151" s="137" t="s">
        <v>118</v>
      </c>
      <c r="D151" s="137"/>
      <c r="E151" s="43"/>
      <c r="F151" s="874"/>
      <c r="G151" s="874"/>
      <c r="H151" s="874"/>
      <c r="I151" s="874"/>
      <c r="J151" s="875" t="s">
        <v>94</v>
      </c>
      <c r="K151" s="1053">
        <f>NET_rdns_EUR</f>
        <v>0</v>
      </c>
      <c r="L151" s="10"/>
      <c r="M151" s="774"/>
      <c r="N151" s="837"/>
      <c r="O151" s="9"/>
    </row>
    <row r="152" spans="2:18" ht="25" customHeight="1">
      <c r="B152" s="141" t="s">
        <v>508</v>
      </c>
      <c r="C152" s="136" t="s">
        <v>121</v>
      </c>
      <c r="D152" s="136"/>
      <c r="E152" s="32"/>
      <c r="F152" s="39"/>
      <c r="G152" s="39"/>
      <c r="H152" s="39"/>
      <c r="I152" s="39"/>
      <c r="J152" s="878" t="s">
        <v>94</v>
      </c>
      <c r="K152" s="1052">
        <v>0</v>
      </c>
      <c r="L152" s="10"/>
      <c r="M152" s="774"/>
      <c r="N152" s="837"/>
      <c r="O152" s="9"/>
    </row>
    <row r="153" spans="2:18" ht="25" customHeight="1">
      <c r="B153" s="704"/>
      <c r="C153" s="148"/>
      <c r="D153" s="149"/>
      <c r="E153" s="149"/>
      <c r="F153" s="149"/>
      <c r="G153" s="149"/>
      <c r="H153" s="149"/>
      <c r="I153" s="149"/>
      <c r="J153" s="148"/>
      <c r="K153" s="974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940"/>
      <c r="C155" s="721"/>
      <c r="D155" s="722"/>
      <c r="E155" s="722"/>
      <c r="F155" s="722"/>
      <c r="G155" s="722"/>
      <c r="H155" s="722"/>
      <c r="I155" s="722"/>
      <c r="J155" s="721"/>
      <c r="K155" s="975"/>
      <c r="L155" s="10"/>
      <c r="M155" s="774"/>
      <c r="N155" s="837"/>
      <c r="O155" s="9"/>
    </row>
    <row r="156" spans="2:18" ht="25" customHeight="1">
      <c r="B156" s="716" t="s">
        <v>588</v>
      </c>
      <c r="C156" s="15"/>
      <c r="D156" s="15"/>
      <c r="E156" s="15"/>
      <c r="F156" s="15"/>
      <c r="G156" s="15"/>
      <c r="H156" s="15"/>
      <c r="I156" s="15"/>
      <c r="J156" s="879"/>
      <c r="K156" s="966"/>
      <c r="M156" s="774"/>
      <c r="N156" s="837"/>
      <c r="O156" s="9"/>
    </row>
    <row r="157" spans="2:18" ht="25" customHeight="1">
      <c r="B157" s="690" t="s">
        <v>589</v>
      </c>
      <c r="M157" s="765"/>
    </row>
    <row r="158" spans="2:18" ht="25" customHeight="1">
      <c r="B158" s="510" t="s">
        <v>9</v>
      </c>
      <c r="C158" s="25"/>
      <c r="D158" s="110"/>
      <c r="E158" s="26" t="s">
        <v>64</v>
      </c>
      <c r="F158" s="880"/>
      <c r="G158" s="880"/>
      <c r="H158" s="880"/>
      <c r="I158" s="880"/>
      <c r="J158" s="25" t="s">
        <v>584</v>
      </c>
      <c r="K158" s="674" t="s">
        <v>14</v>
      </c>
      <c r="L158" s="10"/>
      <c r="M158" s="774"/>
      <c r="N158" s="837"/>
      <c r="O158" s="9"/>
    </row>
    <row r="159" spans="2:18" ht="25" customHeight="1">
      <c r="B159" s="141" t="s">
        <v>509</v>
      </c>
      <c r="C159" s="136"/>
      <c r="D159" s="32"/>
      <c r="E159" s="32" t="s">
        <v>123</v>
      </c>
      <c r="F159" s="32"/>
      <c r="G159" s="32"/>
      <c r="H159" s="32"/>
      <c r="I159" s="32"/>
      <c r="J159" s="873" t="s">
        <v>10</v>
      </c>
      <c r="K159" s="1031">
        <f>SW_win.ser.201X_EUR</f>
        <v>7.6440000000000001</v>
      </c>
      <c r="L159" s="835"/>
      <c r="M159" s="774"/>
      <c r="N159" s="837"/>
      <c r="O159" s="9"/>
      <c r="Q159" s="752"/>
      <c r="R159" s="752"/>
    </row>
    <row r="160" spans="2:18" ht="25" customHeight="1">
      <c r="B160" s="144" t="s">
        <v>510</v>
      </c>
      <c r="C160" s="137"/>
      <c r="D160" s="40"/>
      <c r="E160" s="40" t="s">
        <v>125</v>
      </c>
      <c r="F160" s="874"/>
      <c r="G160" s="874"/>
      <c r="H160" s="874"/>
      <c r="I160" s="874"/>
      <c r="J160" s="876" t="s">
        <v>10</v>
      </c>
      <c r="K160" s="1032">
        <f>SW_win.ser.201X_EUR</f>
        <v>7.6440000000000001</v>
      </c>
      <c r="L160" s="835"/>
      <c r="M160" s="774"/>
      <c r="N160" s="837"/>
      <c r="O160" s="9"/>
      <c r="Q160" s="752"/>
      <c r="R160" s="752"/>
    </row>
    <row r="161" spans="2:18" s="6" customFormat="1" ht="25" customHeight="1">
      <c r="B161" s="141" t="s">
        <v>511</v>
      </c>
      <c r="C161" s="136"/>
      <c r="D161" s="32"/>
      <c r="E161" s="32" t="s">
        <v>418</v>
      </c>
      <c r="F161" s="32"/>
      <c r="G161" s="32"/>
      <c r="H161" s="32"/>
      <c r="I161" s="32"/>
      <c r="J161" s="873" t="s">
        <v>10</v>
      </c>
      <c r="K161" s="1031">
        <f>SW_ms.sql.ser_EUR</f>
        <v>146.804</v>
      </c>
      <c r="M161" s="774"/>
      <c r="N161" s="837"/>
      <c r="O161" s="9"/>
    </row>
    <row r="162" spans="2:18" ht="25" customHeight="1">
      <c r="B162" s="144" t="s">
        <v>512</v>
      </c>
      <c r="C162" s="137"/>
      <c r="D162" s="40"/>
      <c r="E162" s="40" t="s">
        <v>129</v>
      </c>
      <c r="F162" s="874"/>
      <c r="G162" s="874"/>
      <c r="H162" s="874"/>
      <c r="I162" s="874"/>
      <c r="J162" s="876" t="s">
        <v>242</v>
      </c>
      <c r="K162" s="1042" t="str">
        <f>SW_stackn_EUR</f>
        <v>Request a quote</v>
      </c>
      <c r="L162" s="10"/>
      <c r="M162" s="774"/>
      <c r="N162" s="837"/>
      <c r="O162" s="9"/>
    </row>
    <row r="163" spans="2:18" ht="25" customHeight="1">
      <c r="B163" s="141" t="s">
        <v>513</v>
      </c>
      <c r="C163" s="136"/>
      <c r="D163" s="32"/>
      <c r="E163" s="32" t="s">
        <v>131</v>
      </c>
      <c r="F163" s="32"/>
      <c r="G163" s="32"/>
      <c r="H163" s="32"/>
      <c r="I163" s="32"/>
      <c r="J163" s="878" t="s">
        <v>94</v>
      </c>
      <c r="K163" s="1054" t="str">
        <f>SW_nextcloud_EUR</f>
        <v>Request a quote</v>
      </c>
      <c r="L163" s="835"/>
      <c r="M163" s="774"/>
      <c r="N163" s="837"/>
      <c r="O163" s="9"/>
      <c r="Q163" s="752"/>
      <c r="R163" s="752"/>
    </row>
    <row r="164" spans="2:18" s="6" customFormat="1" ht="25" customHeight="1">
      <c r="B164" s="144" t="s">
        <v>514</v>
      </c>
      <c r="C164" s="137"/>
      <c r="D164" s="40"/>
      <c r="E164" s="40" t="s">
        <v>133</v>
      </c>
      <c r="F164" s="874"/>
      <c r="G164" s="874"/>
      <c r="H164" s="874"/>
      <c r="I164" s="874"/>
      <c r="J164" s="875" t="s">
        <v>94</v>
      </c>
      <c r="K164" s="1042" t="str">
        <f>SW_suse_EUR</f>
        <v>Request a quote</v>
      </c>
      <c r="M164" s="774"/>
      <c r="N164" s="837"/>
      <c r="O164" s="9"/>
    </row>
    <row r="165" spans="2:18" ht="25" customHeight="1">
      <c r="B165" s="141" t="s">
        <v>515</v>
      </c>
      <c r="C165" s="136"/>
      <c r="D165" s="32"/>
      <c r="E165" s="32" t="s">
        <v>135</v>
      </c>
      <c r="F165" s="32"/>
      <c r="G165" s="32"/>
      <c r="H165" s="32"/>
      <c r="I165" s="32"/>
      <c r="J165" s="878" t="s">
        <v>94</v>
      </c>
      <c r="K165" s="1054" t="str">
        <f>SW_cluster.control_EUR</f>
        <v>3x instance price</v>
      </c>
      <c r="L165" s="10"/>
      <c r="M165" s="774"/>
      <c r="N165" s="837"/>
      <c r="O165" s="9"/>
    </row>
    <row r="166" spans="2:18" ht="25" customHeight="1">
      <c r="B166" s="144" t="s">
        <v>516</v>
      </c>
      <c r="C166" s="137"/>
      <c r="D166" s="40"/>
      <c r="E166" s="40" t="s">
        <v>137</v>
      </c>
      <c r="F166" s="874"/>
      <c r="G166" s="874"/>
      <c r="H166" s="874"/>
      <c r="I166" s="874"/>
      <c r="J166" s="876" t="s">
        <v>140</v>
      </c>
      <c r="K166" s="1032">
        <f>SW_backup.ninja_EUR</f>
        <v>39.200000000000003</v>
      </c>
      <c r="L166" s="10"/>
      <c r="M166" s="774"/>
      <c r="N166" s="837"/>
      <c r="O166" s="9"/>
    </row>
    <row r="167" spans="2:18" ht="25" customHeight="1">
      <c r="B167" s="109"/>
      <c r="C167" s="106"/>
      <c r="D167" s="107"/>
      <c r="E167" s="108"/>
      <c r="F167" s="881"/>
      <c r="G167" s="881"/>
      <c r="H167" s="881"/>
      <c r="I167" s="881"/>
      <c r="J167" s="882"/>
      <c r="K167" s="977"/>
      <c r="L167" s="10"/>
      <c r="M167" s="774"/>
      <c r="N167" s="837"/>
      <c r="O167" s="9"/>
    </row>
    <row r="168" spans="2:18" ht="25" customHeight="1">
      <c r="B168" s="144"/>
      <c r="C168" s="137"/>
      <c r="D168" s="43"/>
      <c r="E168" s="33"/>
      <c r="F168" s="874"/>
      <c r="G168" s="874"/>
      <c r="H168" s="874"/>
      <c r="I168" s="874"/>
      <c r="J168" s="883"/>
      <c r="K168" s="606"/>
      <c r="L168" s="10"/>
      <c r="M168" s="774"/>
      <c r="N168" s="837"/>
      <c r="O168" s="9"/>
    </row>
    <row r="169" spans="2:18" ht="25" customHeight="1">
      <c r="J169" s="10"/>
      <c r="K169" s="966"/>
      <c r="M169" s="774"/>
      <c r="N169" s="837"/>
      <c r="O169" s="9"/>
    </row>
    <row r="170" spans="2:18" ht="25" customHeight="1">
      <c r="B170" s="716" t="s">
        <v>139</v>
      </c>
      <c r="C170" s="15"/>
      <c r="D170" s="15"/>
      <c r="F170" s="15"/>
      <c r="G170" s="15"/>
      <c r="H170" s="15"/>
      <c r="I170" s="15"/>
      <c r="J170" s="15"/>
      <c r="K170" s="966"/>
      <c r="M170" s="774"/>
      <c r="N170" s="837"/>
      <c r="O170" s="9"/>
    </row>
    <row r="171" spans="2:18" ht="25" customHeight="1">
      <c r="B171" s="690" t="s">
        <v>590</v>
      </c>
      <c r="M171" s="765"/>
    </row>
    <row r="172" spans="2:18" ht="25" customHeight="1">
      <c r="B172" s="510" t="s">
        <v>9</v>
      </c>
      <c r="C172" s="25"/>
      <c r="D172" s="25"/>
      <c r="E172" s="26" t="s">
        <v>64</v>
      </c>
      <c r="F172" s="26"/>
      <c r="G172" s="26"/>
      <c r="H172" s="26"/>
      <c r="I172" s="26"/>
      <c r="J172" s="1015"/>
      <c r="K172" s="674" t="s">
        <v>14</v>
      </c>
      <c r="M172" s="774"/>
      <c r="N172" s="837"/>
      <c r="O172" s="9"/>
    </row>
    <row r="173" spans="2:18" ht="25" customHeight="1">
      <c r="B173" s="141" t="s">
        <v>501</v>
      </c>
      <c r="C173" s="136"/>
      <c r="D173" s="32"/>
      <c r="E173" s="32" t="s">
        <v>415</v>
      </c>
      <c r="F173" s="32"/>
      <c r="G173" s="32"/>
      <c r="H173" s="32"/>
      <c r="I173" s="32"/>
      <c r="J173" s="42"/>
      <c r="K173" s="1055">
        <f>PAAS_man.kubernetes_EUR</f>
        <v>2352</v>
      </c>
      <c r="M173" s="774"/>
      <c r="N173" s="837"/>
      <c r="O173" s="9"/>
    </row>
    <row r="174" spans="2:18" ht="25" customHeight="1">
      <c r="B174" s="144" t="s">
        <v>517</v>
      </c>
      <c r="C174" s="137"/>
      <c r="D174" s="40"/>
      <c r="E174" s="40" t="s">
        <v>416</v>
      </c>
      <c r="F174" s="874"/>
      <c r="G174" s="874"/>
      <c r="H174" s="874"/>
      <c r="I174" s="874"/>
      <c r="J174" s="883"/>
      <c r="K174" s="1032">
        <f>PAAS_man.postgres.sql_EUR</f>
        <v>1470</v>
      </c>
      <c r="M174" s="774"/>
      <c r="N174" s="837"/>
      <c r="O174" s="9"/>
    </row>
    <row r="175" spans="2:18" ht="25" customHeight="1">
      <c r="B175" s="141" t="s">
        <v>518</v>
      </c>
      <c r="C175" s="136"/>
      <c r="D175" s="32"/>
      <c r="E175" s="32" t="s">
        <v>417</v>
      </c>
      <c r="F175" s="32"/>
      <c r="G175" s="32"/>
      <c r="H175" s="32"/>
      <c r="I175" s="32"/>
      <c r="J175" s="42"/>
      <c r="K175" s="1031" t="str">
        <f>PAAS_man.elasticsearch_EUR</f>
        <v>Requests for quotation</v>
      </c>
      <c r="M175" s="774"/>
      <c r="N175" s="837"/>
      <c r="O175" s="9"/>
    </row>
    <row r="176" spans="2:18" ht="25" customHeight="1">
      <c r="B176" s="144" t="s">
        <v>519</v>
      </c>
      <c r="C176" s="137"/>
      <c r="D176" s="40"/>
      <c r="E176" s="40" t="s">
        <v>591</v>
      </c>
      <c r="F176" s="874"/>
      <c r="G176" s="874"/>
      <c r="H176" s="874"/>
      <c r="I176" s="874"/>
      <c r="J176" s="883"/>
      <c r="K176" s="1032">
        <f>PAAS_openshift_EUR</f>
        <v>0</v>
      </c>
      <c r="M176" s="774"/>
      <c r="N176" s="837"/>
      <c r="O176" s="9"/>
    </row>
    <row r="177" spans="2:20" ht="25" customHeight="1">
      <c r="B177" s="141" t="s">
        <v>520</v>
      </c>
      <c r="C177" s="136"/>
      <c r="D177" s="32"/>
      <c r="E177" s="32" t="s">
        <v>147</v>
      </c>
      <c r="F177" s="32"/>
      <c r="G177" s="32"/>
      <c r="H177" s="32"/>
      <c r="I177" s="32"/>
      <c r="J177" s="42"/>
      <c r="K177" s="1031" t="str">
        <f>PAAS_man.nats_EUR</f>
        <v>Requests for quotation</v>
      </c>
      <c r="M177" s="774"/>
      <c r="N177" s="837"/>
      <c r="O177" s="9"/>
    </row>
    <row r="178" spans="2:20" ht="25" customHeight="1">
      <c r="B178" s="144" t="s">
        <v>521</v>
      </c>
      <c r="C178" s="137"/>
      <c r="D178" s="40"/>
      <c r="E178" s="40" t="s">
        <v>150</v>
      </c>
      <c r="F178" s="874"/>
      <c r="G178" s="874"/>
      <c r="H178" s="874"/>
      <c r="I178" s="874"/>
      <c r="J178" s="883"/>
      <c r="K178" s="1032" t="str">
        <f>PAAS_man.mariadb_EUR</f>
        <v>Requests for quotation</v>
      </c>
      <c r="M178" s="774"/>
      <c r="N178" s="837"/>
      <c r="O178" s="9"/>
    </row>
    <row r="179" spans="2:20" ht="25" customHeight="1">
      <c r="B179" s="141" t="s">
        <v>452</v>
      </c>
      <c r="C179" s="136"/>
      <c r="D179" s="32"/>
      <c r="E179" s="32" t="s">
        <v>144</v>
      </c>
      <c r="F179" s="32"/>
      <c r="G179" s="32"/>
      <c r="H179" s="32"/>
      <c r="I179" s="32"/>
      <c r="J179" s="42"/>
      <c r="K179" s="1031" t="str">
        <f>PAAS_man.redis_EUR</f>
        <v>Requests for quotation</v>
      </c>
      <c r="M179" s="774"/>
      <c r="N179" s="837"/>
      <c r="O179" s="9"/>
    </row>
    <row r="180" spans="2:20" ht="25" customHeight="1">
      <c r="B180" s="109"/>
      <c r="C180" s="106"/>
      <c r="D180" s="428"/>
      <c r="E180" s="108"/>
      <c r="F180" s="881"/>
      <c r="G180" s="881"/>
      <c r="H180" s="881"/>
      <c r="I180" s="881"/>
      <c r="J180" s="882"/>
      <c r="K180" s="977"/>
      <c r="M180" s="774"/>
      <c r="N180" s="837"/>
      <c r="O180" s="9"/>
    </row>
    <row r="181" spans="2:20" ht="25" customHeight="1">
      <c r="B181" s="144"/>
      <c r="C181" s="137"/>
      <c r="D181" s="40"/>
      <c r="E181" s="33"/>
      <c r="F181" s="874"/>
      <c r="G181" s="883"/>
      <c r="H181" s="876"/>
      <c r="I181" s="588"/>
      <c r="M181" s="774"/>
      <c r="O181" s="10"/>
    </row>
    <row r="182" spans="2:20" ht="25" customHeight="1">
      <c r="B182" s="448"/>
      <c r="C182" s="28"/>
      <c r="D182" s="28"/>
      <c r="E182" s="28"/>
      <c r="F182" s="856"/>
      <c r="G182" s="857"/>
      <c r="H182" s="28"/>
      <c r="I182" s="835"/>
      <c r="J182" s="835"/>
      <c r="K182" s="963"/>
      <c r="L182" s="837"/>
      <c r="M182" s="774"/>
      <c r="N182" s="752"/>
      <c r="O182" s="752"/>
    </row>
    <row r="183" spans="2:20" s="6" customFormat="1" ht="25" customHeight="1">
      <c r="B183" s="1072" t="s">
        <v>592</v>
      </c>
      <c r="C183" s="1072"/>
      <c r="D183" s="1072"/>
      <c r="E183" s="1072"/>
      <c r="F183" s="1072"/>
      <c r="G183" s="1072"/>
      <c r="H183" s="884"/>
      <c r="J183" s="749"/>
      <c r="K183" s="950"/>
      <c r="M183" s="774"/>
    </row>
    <row r="184" spans="2:20" s="6" customFormat="1" ht="25" customHeight="1">
      <c r="B184" s="1072"/>
      <c r="C184" s="1072"/>
      <c r="D184" s="1072"/>
      <c r="E184" s="1072"/>
      <c r="F184" s="1072"/>
      <c r="G184" s="1072"/>
      <c r="H184" s="884"/>
      <c r="J184" s="749"/>
      <c r="K184" s="950"/>
      <c r="M184" s="774"/>
    </row>
    <row r="185" spans="2:20" s="6" customFormat="1" ht="25" customHeight="1">
      <c r="B185" s="1072"/>
      <c r="C185" s="1072"/>
      <c r="D185" s="1072"/>
      <c r="E185" s="1072"/>
      <c r="F185" s="1072"/>
      <c r="G185" s="1072"/>
      <c r="H185" s="884"/>
      <c r="J185" s="749"/>
      <c r="K185" s="950"/>
      <c r="M185" s="774"/>
    </row>
    <row r="186" spans="2:20" s="6" customFormat="1" ht="25" customHeight="1">
      <c r="B186" s="1074" t="s">
        <v>593</v>
      </c>
      <c r="C186" s="1074"/>
      <c r="D186" s="1074"/>
      <c r="E186" s="1074"/>
      <c r="F186" s="1074"/>
      <c r="H186" s="884"/>
      <c r="J186" s="749"/>
      <c r="K186" s="950"/>
      <c r="M186" s="774"/>
    </row>
    <row r="187" spans="2:20" s="6" customFormat="1" ht="25" customHeight="1">
      <c r="B187" s="1075" t="s">
        <v>594</v>
      </c>
      <c r="C187" s="1075"/>
      <c r="D187" s="1075"/>
      <c r="E187" s="1075"/>
      <c r="F187" s="1075"/>
      <c r="G187" s="754"/>
      <c r="H187" s="755"/>
      <c r="I187" s="754"/>
      <c r="J187" s="756"/>
      <c r="K187" s="951"/>
      <c r="L187" s="754"/>
      <c r="M187" s="774"/>
    </row>
    <row r="188" spans="2:20" s="6" customFormat="1" ht="25" customHeight="1">
      <c r="B188" s="1013"/>
      <c r="C188" s="1011"/>
      <c r="D188" s="1011"/>
      <c r="E188" s="1011"/>
      <c r="F188" s="1011"/>
      <c r="G188" s="754"/>
      <c r="H188" s="755"/>
      <c r="I188" s="754"/>
      <c r="J188" s="756"/>
      <c r="K188" s="951"/>
      <c r="L188" s="754"/>
      <c r="M188" s="774"/>
    </row>
    <row r="189" spans="2:20" ht="25" customHeight="1">
      <c r="B189" s="716" t="s">
        <v>152</v>
      </c>
      <c r="C189" s="15"/>
      <c r="D189" s="15"/>
      <c r="F189" s="15"/>
      <c r="G189" s="15"/>
      <c r="H189" s="15"/>
      <c r="I189" s="15"/>
      <c r="J189" s="15"/>
      <c r="K189" s="978"/>
      <c r="L189" s="15"/>
      <c r="M189" s="774"/>
      <c r="O189" s="837"/>
      <c r="P189" s="837"/>
      <c r="Q189" s="9"/>
      <c r="S189" s="752"/>
      <c r="T189" s="752"/>
    </row>
    <row r="190" spans="2:20" ht="25" customHeight="1">
      <c r="B190" s="690" t="s">
        <v>595</v>
      </c>
      <c r="M190" s="765"/>
    </row>
    <row r="191" spans="2:20" ht="25" customHeight="1">
      <c r="B191" s="510" t="s">
        <v>9</v>
      </c>
      <c r="C191" s="25"/>
      <c r="D191" s="26" t="s">
        <v>64</v>
      </c>
      <c r="E191" s="26"/>
      <c r="F191" s="880"/>
      <c r="G191" s="880"/>
      <c r="H191" s="880"/>
      <c r="I191" s="25" t="s">
        <v>584</v>
      </c>
      <c r="J191" s="25"/>
      <c r="K191" s="674" t="s">
        <v>14</v>
      </c>
      <c r="L191" s="835"/>
      <c r="M191" s="774"/>
      <c r="N191" s="837"/>
      <c r="O191" s="9"/>
      <c r="Q191" s="752"/>
      <c r="R191" s="752"/>
    </row>
    <row r="192" spans="2:20" ht="25" customHeight="1">
      <c r="B192" s="141" t="s">
        <v>522</v>
      </c>
      <c r="C192" s="136"/>
      <c r="D192" s="32" t="s">
        <v>596</v>
      </c>
      <c r="E192" s="42"/>
      <c r="F192" s="32"/>
      <c r="G192" s="42"/>
      <c r="H192" s="42"/>
      <c r="I192" s="878" t="s">
        <v>613</v>
      </c>
      <c r="J192" s="878"/>
      <c r="K192" s="1056">
        <v>0</v>
      </c>
      <c r="L192" s="835"/>
      <c r="M192" s="774"/>
      <c r="N192" s="837"/>
      <c r="O192" s="9"/>
      <c r="Q192" s="752"/>
      <c r="R192" s="752"/>
    </row>
    <row r="193" spans="2:18" ht="25" customHeight="1">
      <c r="B193" s="144" t="s">
        <v>523</v>
      </c>
      <c r="C193" s="137"/>
      <c r="D193" s="40" t="s">
        <v>156</v>
      </c>
      <c r="E193" s="33"/>
      <c r="F193" s="874"/>
      <c r="G193" s="883"/>
      <c r="H193" s="883"/>
      <c r="I193" s="876" t="s">
        <v>157</v>
      </c>
      <c r="J193" s="876"/>
      <c r="K193" s="1021" t="s">
        <v>597</v>
      </c>
      <c r="L193" s="835"/>
      <c r="M193" s="988" t="s">
        <v>598</v>
      </c>
      <c r="N193" s="837"/>
      <c r="O193" s="9"/>
      <c r="Q193" s="752"/>
      <c r="R193" s="752"/>
    </row>
    <row r="194" spans="2:18" ht="25" customHeight="1">
      <c r="B194" s="141" t="s">
        <v>524</v>
      </c>
      <c r="C194" s="136"/>
      <c r="D194" s="32" t="s">
        <v>160</v>
      </c>
      <c r="E194" s="136"/>
      <c r="F194" s="136"/>
      <c r="G194" s="136"/>
      <c r="H194" s="42"/>
      <c r="I194" s="873" t="s">
        <v>161</v>
      </c>
      <c r="J194" s="873"/>
      <c r="K194" s="651" t="s">
        <v>599</v>
      </c>
      <c r="L194" s="835"/>
      <c r="M194" s="774"/>
      <c r="N194" s="837"/>
      <c r="O194" s="9"/>
      <c r="Q194" s="752"/>
      <c r="R194" s="752"/>
    </row>
    <row r="195" spans="2:18" ht="25" customHeight="1">
      <c r="B195" s="109"/>
      <c r="C195" s="106"/>
      <c r="D195" s="106"/>
      <c r="E195" s="108"/>
      <c r="F195" s="881"/>
      <c r="G195" s="882"/>
      <c r="H195" s="882"/>
      <c r="I195" s="885"/>
      <c r="J195" s="885"/>
      <c r="K195" s="977"/>
      <c r="L195" s="835"/>
      <c r="M195" s="774"/>
      <c r="N195" s="837"/>
      <c r="O195" s="9"/>
      <c r="Q195" s="752"/>
      <c r="R195" s="752"/>
    </row>
    <row r="196" spans="2:18" ht="25" customHeight="1">
      <c r="B196" s="144"/>
      <c r="C196" s="137"/>
      <c r="D196" s="40"/>
      <c r="E196" s="33"/>
      <c r="F196" s="874"/>
      <c r="G196" s="883"/>
      <c r="H196" s="883"/>
      <c r="I196" s="876"/>
      <c r="J196" s="876"/>
      <c r="K196" s="606"/>
      <c r="L196" s="835"/>
      <c r="M196" s="774"/>
      <c r="N196" s="837"/>
      <c r="O196" s="9"/>
      <c r="Q196" s="752"/>
      <c r="R196" s="752"/>
    </row>
    <row r="197" spans="2:18" s="718" customFormat="1" ht="25" customHeight="1">
      <c r="B197" s="716" t="s">
        <v>600</v>
      </c>
      <c r="C197" s="1004"/>
      <c r="D197" s="1004"/>
      <c r="F197" s="1004"/>
      <c r="G197" s="1004"/>
      <c r="H197" s="1004"/>
      <c r="I197" s="1005"/>
      <c r="J197" s="1005"/>
      <c r="K197" s="789"/>
      <c r="L197" s="1006"/>
      <c r="M197" s="1007"/>
      <c r="N197" s="1008"/>
      <c r="O197" s="1009"/>
      <c r="Q197" s="1009"/>
      <c r="R197" s="1009"/>
    </row>
    <row r="198" spans="2:18" ht="25" customHeight="1">
      <c r="B198" s="690" t="s">
        <v>601</v>
      </c>
      <c r="M198" s="765"/>
    </row>
    <row r="199" spans="2:18" ht="25" customHeight="1">
      <c r="B199" s="510" t="s">
        <v>9</v>
      </c>
      <c r="C199" s="25"/>
      <c r="D199" s="26" t="s">
        <v>64</v>
      </c>
      <c r="E199" s="26"/>
      <c r="F199" s="880"/>
      <c r="G199" s="880"/>
      <c r="H199" s="880"/>
      <c r="I199" s="25" t="s">
        <v>584</v>
      </c>
      <c r="J199" s="25"/>
      <c r="K199" s="674" t="s">
        <v>14</v>
      </c>
      <c r="L199" s="835"/>
      <c r="M199" s="774"/>
      <c r="N199" s="837"/>
      <c r="O199" s="9"/>
      <c r="Q199" s="752"/>
      <c r="R199" s="752"/>
    </row>
    <row r="200" spans="2:18" ht="25" customHeight="1">
      <c r="B200" s="141" t="s">
        <v>525</v>
      </c>
      <c r="C200" s="136"/>
      <c r="D200" s="32" t="s">
        <v>166</v>
      </c>
      <c r="E200" s="42"/>
      <c r="F200" s="32"/>
      <c r="G200" s="42"/>
      <c r="H200" s="42"/>
      <c r="I200" s="873" t="s">
        <v>161</v>
      </c>
      <c r="J200" s="873"/>
      <c r="K200" s="1056">
        <f>PS_consult.jun_EUR</f>
        <v>110.446</v>
      </c>
      <c r="L200" s="835"/>
      <c r="M200" s="774"/>
      <c r="N200" s="837"/>
      <c r="O200" s="9"/>
      <c r="Q200" s="752"/>
      <c r="R200" s="752"/>
    </row>
    <row r="201" spans="2:18" ht="25" customHeight="1">
      <c r="B201" s="144" t="s">
        <v>526</v>
      </c>
      <c r="C201" s="137"/>
      <c r="D201" s="40" t="s">
        <v>168</v>
      </c>
      <c r="E201" s="33"/>
      <c r="F201" s="874"/>
      <c r="G201" s="883"/>
      <c r="H201" s="883"/>
      <c r="I201" s="876" t="s">
        <v>161</v>
      </c>
      <c r="J201" s="876"/>
      <c r="K201" s="1057">
        <f>PS_consult.sen_EUR</f>
        <v>134.65200000000002</v>
      </c>
      <c r="L201" s="835"/>
      <c r="M201" s="774"/>
      <c r="N201" s="837"/>
      <c r="O201" s="9"/>
      <c r="Q201" s="752"/>
      <c r="R201" s="752"/>
    </row>
    <row r="202" spans="2:18" ht="25" customHeight="1">
      <c r="B202" s="141" t="s">
        <v>527</v>
      </c>
      <c r="C202" s="136"/>
      <c r="D202" s="32" t="s">
        <v>170</v>
      </c>
      <c r="E202" s="42"/>
      <c r="F202" s="32"/>
      <c r="G202" s="42"/>
      <c r="H202" s="42"/>
      <c r="I202" s="873" t="s">
        <v>161</v>
      </c>
      <c r="J202" s="873"/>
      <c r="K202" s="1056">
        <f>PS_cloudarch.jun_EUR</f>
        <v>125.146</v>
      </c>
      <c r="L202" s="835"/>
      <c r="M202" s="774"/>
      <c r="N202" s="837"/>
      <c r="O202" s="9"/>
      <c r="Q202" s="752"/>
      <c r="R202" s="752"/>
    </row>
    <row r="203" spans="2:18" ht="25" customHeight="1">
      <c r="B203" s="144" t="s">
        <v>528</v>
      </c>
      <c r="C203" s="137"/>
      <c r="D203" s="40" t="s">
        <v>172</v>
      </c>
      <c r="E203" s="40"/>
      <c r="F203" s="40"/>
      <c r="G203" s="883"/>
      <c r="H203" s="883"/>
      <c r="I203" s="876" t="s">
        <v>161</v>
      </c>
      <c r="J203" s="876"/>
      <c r="K203" s="1057">
        <f>PS_cloudarch.sen_EUR</f>
        <v>134.65200000000002</v>
      </c>
      <c r="L203" s="835"/>
      <c r="M203" s="774"/>
      <c r="N203" s="837"/>
      <c r="O203" s="9"/>
      <c r="Q203" s="752"/>
      <c r="R203" s="752"/>
    </row>
    <row r="204" spans="2:18" ht="25" customHeight="1">
      <c r="B204" s="141" t="s">
        <v>529</v>
      </c>
      <c r="C204" s="136"/>
      <c r="D204" s="32" t="s">
        <v>174</v>
      </c>
      <c r="E204" s="42"/>
      <c r="F204" s="32"/>
      <c r="G204" s="42"/>
      <c r="H204" s="42"/>
      <c r="I204" s="873" t="s">
        <v>161</v>
      </c>
      <c r="J204" s="873"/>
      <c r="K204" s="1056">
        <f>PS_pm.jun_EUR</f>
        <v>111.622</v>
      </c>
      <c r="L204" s="835"/>
      <c r="M204" s="774"/>
      <c r="N204" s="837"/>
      <c r="O204" s="9"/>
      <c r="Q204" s="752"/>
      <c r="R204" s="752"/>
    </row>
    <row r="205" spans="2:18" ht="25" customHeight="1">
      <c r="B205" s="144" t="s">
        <v>530</v>
      </c>
      <c r="C205" s="137"/>
      <c r="D205" s="40" t="s">
        <v>176</v>
      </c>
      <c r="E205" s="33"/>
      <c r="F205" s="874"/>
      <c r="G205" s="883"/>
      <c r="H205" s="883"/>
      <c r="I205" s="876" t="s">
        <v>161</v>
      </c>
      <c r="J205" s="876"/>
      <c r="K205" s="1057">
        <f>PS_pm.sen_EUR</f>
        <v>134.65200000000002</v>
      </c>
      <c r="L205" s="835"/>
      <c r="M205" s="774"/>
      <c r="N205" s="837"/>
      <c r="O205" s="9"/>
      <c r="Q205" s="752"/>
      <c r="R205" s="752"/>
    </row>
    <row r="206" spans="2:18" ht="25" customHeight="1">
      <c r="B206" s="109"/>
      <c r="C206" s="106"/>
      <c r="D206" s="428"/>
      <c r="E206" s="108"/>
      <c r="F206" s="881"/>
      <c r="G206" s="882"/>
      <c r="H206" s="882"/>
      <c r="I206" s="885"/>
      <c r="J206" s="885"/>
      <c r="K206" s="977"/>
      <c r="L206" s="835"/>
      <c r="M206" s="774"/>
      <c r="N206" s="837"/>
      <c r="O206" s="9"/>
      <c r="Q206" s="752"/>
      <c r="R206" s="752"/>
    </row>
    <row r="207" spans="2:18" ht="25" customHeight="1">
      <c r="B207" s="144"/>
      <c r="C207" s="137"/>
      <c r="D207" s="40"/>
      <c r="E207" s="33"/>
      <c r="F207" s="874"/>
      <c r="G207" s="883"/>
      <c r="H207" s="883"/>
      <c r="I207" s="876"/>
      <c r="J207" s="876"/>
      <c r="K207" s="606"/>
      <c r="M207" s="774"/>
      <c r="N207" s="837"/>
      <c r="O207" s="9"/>
    </row>
    <row r="208" spans="2:18" ht="25" customHeight="1">
      <c r="B208" s="716" t="s">
        <v>602</v>
      </c>
      <c r="C208" s="15"/>
      <c r="D208" s="15"/>
      <c r="F208" s="15"/>
      <c r="G208" s="15"/>
      <c r="H208" s="15"/>
      <c r="I208" s="879"/>
      <c r="J208" s="879"/>
      <c r="K208" s="966"/>
      <c r="L208" s="835"/>
      <c r="M208" s="774"/>
      <c r="N208" s="837"/>
      <c r="O208" s="9"/>
      <c r="Q208" s="752"/>
      <c r="R208" s="752"/>
    </row>
    <row r="209" spans="1:18" ht="25" customHeight="1">
      <c r="B209" s="690" t="s">
        <v>603</v>
      </c>
      <c r="M209" s="765"/>
    </row>
    <row r="210" spans="1:18" ht="25" customHeight="1">
      <c r="B210" s="510" t="s">
        <v>9</v>
      </c>
      <c r="C210" s="25"/>
      <c r="D210" s="26" t="s">
        <v>64</v>
      </c>
      <c r="E210" s="1020"/>
      <c r="F210" s="26"/>
      <c r="G210" s="1015" t="s">
        <v>178</v>
      </c>
      <c r="H210" s="25"/>
      <c r="I210" s="1020" t="s">
        <v>584</v>
      </c>
      <c r="J210" s="25"/>
      <c r="K210" s="674" t="s">
        <v>179</v>
      </c>
      <c r="L210" s="835"/>
      <c r="M210" s="774"/>
      <c r="N210" s="837"/>
      <c r="O210" s="9"/>
      <c r="Q210" s="752"/>
      <c r="R210" s="752"/>
    </row>
    <row r="211" spans="1:18" ht="25" customHeight="1">
      <c r="B211" s="141" t="s">
        <v>531</v>
      </c>
      <c r="C211" s="136"/>
      <c r="D211" s="32" t="s">
        <v>182</v>
      </c>
      <c r="E211" s="42"/>
      <c r="F211" s="32"/>
      <c r="G211" s="42" t="s">
        <v>181</v>
      </c>
      <c r="H211" s="873"/>
      <c r="I211" s="1058" t="s">
        <v>183</v>
      </c>
      <c r="J211" s="873"/>
      <c r="K211" s="651" t="s">
        <v>599</v>
      </c>
      <c r="L211" s="835"/>
      <c r="M211" s="774"/>
      <c r="N211" s="837"/>
      <c r="O211" s="9"/>
      <c r="Q211" s="752"/>
      <c r="R211" s="752"/>
    </row>
    <row r="212" spans="1:18" ht="25" customHeight="1">
      <c r="B212" s="144" t="s">
        <v>532</v>
      </c>
      <c r="C212" s="137"/>
      <c r="D212" s="40" t="s">
        <v>604</v>
      </c>
      <c r="E212" s="33"/>
      <c r="F212" s="874"/>
      <c r="G212" s="883" t="s">
        <v>181</v>
      </c>
      <c r="H212" s="876"/>
      <c r="I212" s="1059" t="s">
        <v>183</v>
      </c>
      <c r="J212" s="876"/>
      <c r="K212" s="1021" t="s">
        <v>599</v>
      </c>
      <c r="L212" s="835"/>
      <c r="M212" s="774"/>
      <c r="N212" s="837"/>
      <c r="O212" s="9"/>
      <c r="Q212" s="752"/>
      <c r="R212" s="752"/>
    </row>
    <row r="213" spans="1:18" ht="25" customHeight="1">
      <c r="B213" s="141" t="s">
        <v>533</v>
      </c>
      <c r="C213" s="136"/>
      <c r="D213" s="32" t="s">
        <v>605</v>
      </c>
      <c r="E213" s="42"/>
      <c r="F213" s="32"/>
      <c r="G213" s="42" t="s">
        <v>187</v>
      </c>
      <c r="H213" s="873"/>
      <c r="I213" s="1058" t="s">
        <v>183</v>
      </c>
      <c r="J213" s="873"/>
      <c r="K213" s="651" t="s">
        <v>599</v>
      </c>
      <c r="L213" s="835"/>
      <c r="M213" s="774"/>
      <c r="N213" s="837"/>
      <c r="O213" s="9"/>
      <c r="Q213" s="752"/>
      <c r="R213" s="752"/>
    </row>
    <row r="214" spans="1:18" ht="25" customHeight="1">
      <c r="B214" s="144" t="s">
        <v>534</v>
      </c>
      <c r="C214" s="137"/>
      <c r="D214" s="40" t="s">
        <v>606</v>
      </c>
      <c r="E214" s="33"/>
      <c r="F214" s="874"/>
      <c r="G214" s="883" t="s">
        <v>187</v>
      </c>
      <c r="H214" s="876"/>
      <c r="I214" s="1059" t="s">
        <v>183</v>
      </c>
      <c r="J214" s="876"/>
      <c r="K214" s="1021" t="s">
        <v>599</v>
      </c>
      <c r="L214" s="835"/>
      <c r="M214" s="774"/>
      <c r="N214" s="837"/>
      <c r="O214" s="9"/>
      <c r="Q214" s="752"/>
      <c r="R214" s="752"/>
    </row>
    <row r="215" spans="1:18" ht="25" customHeight="1">
      <c r="B215" s="109"/>
      <c r="C215" s="106"/>
      <c r="D215" s="428"/>
      <c r="E215" s="108"/>
      <c r="F215" s="881"/>
      <c r="G215" s="882"/>
      <c r="H215" s="882"/>
      <c r="I215" s="882"/>
      <c r="J215" s="882"/>
      <c r="K215" s="977"/>
      <c r="L215" s="835"/>
      <c r="M215" s="774"/>
      <c r="N215" s="837"/>
      <c r="O215" s="9"/>
      <c r="Q215" s="752"/>
      <c r="R215" s="752"/>
    </row>
    <row r="216" spans="1:18" ht="25" customHeight="1">
      <c r="B216" s="448"/>
      <c r="C216" s="28"/>
      <c r="D216" s="28"/>
      <c r="E216" s="28"/>
      <c r="F216" s="856"/>
      <c r="G216" s="857"/>
      <c r="H216" s="835"/>
      <c r="I216" s="835"/>
      <c r="J216" s="835"/>
      <c r="K216" s="964"/>
      <c r="L216" s="837"/>
      <c r="M216" s="774"/>
      <c r="N216" s="752"/>
      <c r="O216" s="752"/>
    </row>
    <row r="217" spans="1:18" ht="25" customHeight="1">
      <c r="A217" s="870"/>
      <c r="B217" s="705"/>
      <c r="C217" s="62"/>
      <c r="D217" s="62"/>
      <c r="E217" s="62"/>
      <c r="F217" s="886"/>
      <c r="G217" s="887"/>
      <c r="H217" s="888"/>
      <c r="I217" s="889"/>
      <c r="J217" s="890"/>
      <c r="K217" s="979"/>
      <c r="L217" s="891"/>
      <c r="M217" s="774"/>
      <c r="N217" s="752"/>
      <c r="O217" s="752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706"/>
      <c r="C219" s="56"/>
      <c r="D219" s="56"/>
      <c r="E219" s="56"/>
      <c r="F219" s="892"/>
      <c r="G219" s="893"/>
      <c r="H219" s="894"/>
      <c r="I219" s="895"/>
      <c r="J219" s="896"/>
      <c r="K219" s="980"/>
      <c r="L219" s="3"/>
      <c r="M219" s="751"/>
    </row>
    <row r="220" spans="1:18" s="6" customFormat="1" ht="25" customHeight="1">
      <c r="A220" s="3"/>
      <c r="B220" s="706"/>
      <c r="C220" s="56"/>
      <c r="D220" s="56"/>
      <c r="E220" s="56"/>
      <c r="F220" s="892"/>
      <c r="G220" s="893"/>
      <c r="H220" s="894"/>
      <c r="I220" s="895"/>
      <c r="J220" s="896"/>
      <c r="K220" s="980"/>
      <c r="L220" s="3"/>
      <c r="M220" s="751"/>
    </row>
    <row r="221" spans="1:18" s="6" customFormat="1" ht="25" customHeight="1">
      <c r="A221" s="3"/>
      <c r="B221" s="1070" t="s">
        <v>191</v>
      </c>
      <c r="C221" s="1070"/>
      <c r="D221" s="1070"/>
      <c r="E221" s="1070"/>
      <c r="F221" s="1070"/>
      <c r="G221" s="1070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70"/>
      <c r="C222" s="1070"/>
      <c r="D222" s="1070"/>
      <c r="E222" s="1070"/>
      <c r="F222" s="1070"/>
      <c r="G222" s="1070"/>
      <c r="H222" s="739"/>
      <c r="I222" s="897"/>
      <c r="J222" s="3"/>
      <c r="K222" s="947"/>
      <c r="L222" s="3"/>
      <c r="M222" s="751"/>
    </row>
    <row r="223" spans="1:18" s="6" customFormat="1" ht="25" customHeight="1">
      <c r="A223" s="3"/>
      <c r="B223" s="1070"/>
      <c r="C223" s="1070"/>
      <c r="D223" s="1070"/>
      <c r="E223" s="1070"/>
      <c r="F223" s="1070"/>
      <c r="G223" s="1070"/>
      <c r="H223" s="739"/>
      <c r="I223" s="897"/>
      <c r="J223" s="3"/>
      <c r="K223" s="947"/>
      <c r="L223" s="3"/>
      <c r="M223" s="751"/>
    </row>
    <row r="224" spans="1:18" s="6" customFormat="1" ht="25" customHeight="1">
      <c r="A224" s="3"/>
      <c r="B224" s="1071" t="s">
        <v>594</v>
      </c>
      <c r="C224" s="1071"/>
      <c r="D224" s="1071"/>
      <c r="E224" s="1071"/>
      <c r="F224" s="1071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699"/>
      <c r="C225" s="64"/>
      <c r="D225" s="64"/>
      <c r="E225" s="64"/>
      <c r="F225" s="64"/>
      <c r="G225" s="3"/>
      <c r="H225" s="739"/>
      <c r="I225" s="897"/>
      <c r="J225" s="3"/>
      <c r="K225" s="947"/>
      <c r="L225" s="898"/>
      <c r="M225" s="758"/>
    </row>
    <row r="226" spans="1:20" s="6" customFormat="1" ht="25" customHeight="1">
      <c r="A226" s="3"/>
      <c r="B226" s="453" t="s">
        <v>608</v>
      </c>
      <c r="C226" s="64"/>
      <c r="D226" s="64"/>
      <c r="E226" s="64"/>
      <c r="F226" s="64"/>
      <c r="G226" s="3"/>
      <c r="H226" s="739"/>
      <c r="I226" s="897"/>
      <c r="J226" s="3"/>
      <c r="K226" s="947"/>
      <c r="L226" s="898"/>
      <c r="M226" s="758"/>
    </row>
    <row r="227" spans="1:20" s="6" customFormat="1" ht="25" customHeight="1">
      <c r="A227" s="3"/>
      <c r="B227" s="449" t="s">
        <v>609</v>
      </c>
      <c r="C227" s="64"/>
      <c r="D227" s="64"/>
      <c r="E227" s="64"/>
      <c r="F227" s="64"/>
      <c r="G227" s="3"/>
      <c r="H227" s="739"/>
      <c r="I227" s="3"/>
      <c r="J227" s="740"/>
      <c r="K227" s="947"/>
      <c r="L227" s="898"/>
      <c r="M227" s="758"/>
    </row>
    <row r="228" spans="1:20" s="6" customFormat="1" ht="25" customHeight="1">
      <c r="A228" s="3"/>
      <c r="B228" s="71" t="s">
        <v>193</v>
      </c>
      <c r="C228" s="69"/>
      <c r="D228" s="69"/>
      <c r="E228" s="69"/>
      <c r="F228" s="69"/>
      <c r="G228" s="898"/>
      <c r="H228" s="899"/>
      <c r="I228" s="898"/>
      <c r="J228" s="900"/>
      <c r="K228" s="981"/>
      <c r="L228" s="898"/>
      <c r="M228" s="758"/>
    </row>
    <row r="229" spans="1:20" s="804" customFormat="1" ht="25" customHeight="1">
      <c r="A229" s="901"/>
      <c r="B229" s="1010"/>
      <c r="C229" s="142"/>
      <c r="D229" s="142"/>
      <c r="E229" s="142"/>
      <c r="F229" s="142"/>
      <c r="G229" s="898"/>
      <c r="H229" s="899"/>
      <c r="I229" s="898"/>
      <c r="J229" s="900"/>
      <c r="K229" s="981"/>
      <c r="L229" s="901"/>
      <c r="M229" s="859"/>
      <c r="N229" s="902"/>
      <c r="O229" s="822"/>
      <c r="P229" s="822"/>
      <c r="Q229" s="822"/>
      <c r="R229" s="822"/>
      <c r="S229" s="822"/>
      <c r="T229" s="822"/>
    </row>
    <row r="230" spans="1:20" ht="25" customHeight="1">
      <c r="A230" s="903"/>
      <c r="B230" s="707" t="s">
        <v>610</v>
      </c>
      <c r="C230" s="58"/>
      <c r="D230" s="59"/>
      <c r="E230" s="58"/>
      <c r="F230" s="732"/>
      <c r="G230" s="732"/>
      <c r="H230" s="732"/>
      <c r="I230" s="58"/>
      <c r="J230" s="732" t="s">
        <v>607</v>
      </c>
      <c r="K230" s="982"/>
      <c r="L230" s="904"/>
      <c r="M230" s="768"/>
      <c r="N230" s="1022"/>
      <c r="O230" s="10"/>
    </row>
    <row r="231" spans="1:20" ht="25" customHeight="1">
      <c r="A231" s="903"/>
      <c r="B231" s="941" t="s">
        <v>4</v>
      </c>
      <c r="C231" s="728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3"/>
      <c r="E231" s="728"/>
      <c r="F231" s="728"/>
      <c r="G231" s="729"/>
      <c r="H231" s="905"/>
      <c r="I231" s="906"/>
      <c r="J231" s="1060">
        <f>K64+K73+K55+K38+K82</f>
        <v>0</v>
      </c>
      <c r="K231" s="944"/>
      <c r="L231" s="903"/>
      <c r="M231" s="768"/>
      <c r="N231" s="1022"/>
      <c r="O231" s="10"/>
    </row>
    <row r="232" spans="1:20" ht="25" customHeight="1">
      <c r="A232" s="903"/>
      <c r="B232" s="534" t="s">
        <v>72</v>
      </c>
      <c r="C232" s="672" t="str">
        <f>K94&amp;" TB - S3"&amp;"     /     "&amp;K93&amp;" TB - Archive"</f>
        <v>0 TB - S3     /     0 TB - Archive</v>
      </c>
      <c r="D232" s="730"/>
      <c r="E232" s="730"/>
      <c r="F232" s="907"/>
      <c r="G232" s="908"/>
      <c r="H232" s="908"/>
      <c r="I232" s="909"/>
      <c r="J232" s="1061">
        <f>K95</f>
        <v>0</v>
      </c>
      <c r="K232" s="944"/>
      <c r="L232" s="903"/>
      <c r="M232" s="768"/>
      <c r="N232" s="1022"/>
      <c r="O232" s="10"/>
    </row>
    <row r="233" spans="1:20" ht="25" customHeight="1">
      <c r="A233" s="903"/>
      <c r="B233" s="534" t="s">
        <v>86</v>
      </c>
      <c r="C233" s="143"/>
      <c r="D233" s="74"/>
      <c r="E233" s="75"/>
      <c r="F233" s="907"/>
      <c r="G233" s="908"/>
      <c r="H233" s="908"/>
      <c r="I233" s="909"/>
      <c r="J233" s="1061">
        <f>K119</f>
        <v>0</v>
      </c>
      <c r="K233" s="944"/>
      <c r="L233" s="903"/>
      <c r="M233" s="768"/>
      <c r="N233" s="1022"/>
      <c r="O233" s="10"/>
    </row>
    <row r="234" spans="1:20" s="913" customFormat="1" ht="25" customHeight="1">
      <c r="A234" s="910"/>
      <c r="B234" s="506" t="s">
        <v>443</v>
      </c>
      <c r="C234" s="723" t="str">
        <f>IF(J131=1,"Fully managed service - support weekdays 08: 00-17: 00",IF(J131=3,"Fully managed service - support around the clock, every day",""))</f>
        <v/>
      </c>
      <c r="D234" s="35"/>
      <c r="E234" s="36"/>
      <c r="F234" s="37"/>
      <c r="G234" s="911"/>
      <c r="H234" s="911"/>
      <c r="I234" s="853"/>
      <c r="J234" s="1043">
        <f>K133</f>
        <v>0</v>
      </c>
      <c r="K234" s="944"/>
      <c r="L234" s="910"/>
      <c r="M234" s="912"/>
    </row>
    <row r="235" spans="1:20" s="919" customFormat="1" ht="25" customHeight="1">
      <c r="A235" s="914"/>
      <c r="B235" s="731" t="s">
        <v>30</v>
      </c>
      <c r="C235" s="726"/>
      <c r="D235" s="727"/>
      <c r="E235" s="727"/>
      <c r="F235" s="915"/>
      <c r="G235" s="916"/>
      <c r="H235" s="916"/>
      <c r="I235" s="917"/>
      <c r="J235" s="1062">
        <f>SUM(J231:J234)</f>
        <v>0</v>
      </c>
      <c r="K235" s="983"/>
      <c r="L235" s="914"/>
      <c r="M235" s="918"/>
    </row>
    <row r="236" spans="1:20" ht="25" customHeight="1">
      <c r="A236" s="903"/>
      <c r="B236" s="452"/>
      <c r="C236" s="61"/>
      <c r="D236" s="61"/>
      <c r="E236" s="61"/>
      <c r="F236" s="920"/>
      <c r="G236" s="921"/>
      <c r="H236" s="921"/>
      <c r="I236" s="922"/>
      <c r="J236" s="922"/>
      <c r="K236" s="984"/>
      <c r="L236" s="903"/>
      <c r="M236" s="768"/>
      <c r="O236" s="10"/>
    </row>
    <row r="237" spans="1:20" ht="25" customHeight="1">
      <c r="A237" s="903"/>
      <c r="B237" s="708"/>
      <c r="C237" s="32"/>
      <c r="D237" s="38"/>
      <c r="E237" s="39"/>
      <c r="F237" s="42"/>
      <c r="G237" s="589"/>
      <c r="H237" s="32"/>
      <c r="I237" s="877"/>
      <c r="J237" s="828"/>
      <c r="K237" s="944"/>
      <c r="L237" s="903"/>
      <c r="M237" s="768"/>
      <c r="O237" s="10"/>
    </row>
    <row r="238" spans="1:20" ht="25" customHeight="1">
      <c r="A238" s="923"/>
      <c r="B238" s="709"/>
      <c r="C238" s="44"/>
      <c r="D238" s="35"/>
      <c r="E238" s="36"/>
      <c r="F238" s="924"/>
      <c r="G238" s="911"/>
      <c r="H238" s="44"/>
      <c r="I238" s="925"/>
      <c r="J238" s="471"/>
      <c r="K238" s="650"/>
      <c r="L238" s="926"/>
      <c r="M238" s="768"/>
      <c r="O238" s="10"/>
    </row>
    <row r="239" spans="1:20" s="116" customFormat="1" ht="25" customHeight="1">
      <c r="B239" s="710"/>
      <c r="C239" s="112"/>
      <c r="D239" s="113"/>
      <c r="E239" s="114"/>
      <c r="F239" s="927"/>
      <c r="G239" s="928"/>
      <c r="H239" s="112"/>
      <c r="I239" s="929"/>
      <c r="J239" s="930"/>
      <c r="K239" s="985"/>
      <c r="L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116" customFormat="1" ht="25" customHeight="1"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</row>
    <row r="248" spans="1:23" s="116" customFormat="1" ht="25" customHeight="1"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</row>
    <row r="249" spans="1:23" s="934" customFormat="1" ht="25" customHeight="1">
      <c r="A249" s="116"/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  <c r="P249" s="116"/>
      <c r="Q249" s="116"/>
      <c r="R249" s="116"/>
      <c r="S249" s="116"/>
      <c r="T249" s="116"/>
      <c r="U249" s="116"/>
      <c r="V249" s="116"/>
      <c r="W249" s="116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0"/>
      <c r="C267" s="112"/>
      <c r="D267" s="112"/>
      <c r="E267" s="112"/>
      <c r="F267" s="931"/>
      <c r="G267" s="932"/>
      <c r="H267" s="933"/>
      <c r="I267" s="933"/>
      <c r="J267" s="933"/>
      <c r="K267" s="986"/>
      <c r="L267" s="930"/>
      <c r="M267" s="930"/>
      <c r="N267" s="930"/>
      <c r="O267" s="117"/>
    </row>
    <row r="268" spans="2:15" s="116" customFormat="1" ht="25" customHeight="1">
      <c r="B268" s="710"/>
      <c r="C268" s="112"/>
      <c r="D268" s="112"/>
      <c r="E268" s="112"/>
      <c r="F268" s="931"/>
      <c r="G268" s="932"/>
      <c r="H268" s="933"/>
      <c r="I268" s="933"/>
      <c r="J268" s="933"/>
      <c r="K268" s="986"/>
      <c r="L268" s="930"/>
      <c r="M268" s="930"/>
      <c r="N268" s="930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1"/>
      <c r="K315" s="987"/>
      <c r="M315" s="935"/>
      <c r="O315" s="117"/>
    </row>
    <row r="316" spans="2:15" s="116" customFormat="1" ht="25" customHeight="1">
      <c r="B316" s="711"/>
      <c r="K316" s="987"/>
      <c r="M316" s="935"/>
      <c r="O316" s="117"/>
    </row>
    <row r="317" spans="2:15" s="116" customFormat="1" ht="25" customHeight="1">
      <c r="B317" s="712"/>
      <c r="C317" s="117"/>
      <c r="D317" s="117"/>
      <c r="E317" s="117"/>
      <c r="F317" s="117"/>
      <c r="G317" s="117"/>
      <c r="H317" s="117"/>
      <c r="I317" s="117"/>
      <c r="J317" s="117"/>
      <c r="K317" s="986"/>
      <c r="L317" s="117"/>
      <c r="M317" s="936"/>
      <c r="O317" s="117"/>
    </row>
    <row r="318" spans="2:15" s="116" customFormat="1" ht="25" customHeight="1">
      <c r="B318" s="711"/>
      <c r="K318" s="987"/>
      <c r="M318" s="935"/>
      <c r="O318" s="117"/>
    </row>
    <row r="319" spans="2:15" s="116" customFormat="1" ht="25" customHeight="1">
      <c r="B319" s="711"/>
      <c r="K319" s="987"/>
      <c r="M319" s="935"/>
      <c r="O319" s="117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3"/>
      <c r="K329" s="953"/>
      <c r="M329" s="937"/>
      <c r="O329" s="938"/>
    </row>
    <row r="330" spans="2:15" s="1" customFormat="1" ht="25" customHeight="1">
      <c r="B330" s="713"/>
      <c r="K330" s="953"/>
      <c r="M330" s="937"/>
      <c r="O330" s="938"/>
    </row>
    <row r="331" spans="2:15" s="1" customFormat="1" ht="25" customHeight="1">
      <c r="B331" s="714"/>
      <c r="C331" s="40"/>
      <c r="D331" s="98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  <row r="621" spans="2:15" s="1" customFormat="1" ht="25" customHeight="1">
      <c r="B621" s="713"/>
      <c r="K621" s="953"/>
      <c r="M621" s="937"/>
      <c r="O621" s="938"/>
    </row>
    <row r="622" spans="2:15" s="1" customFormat="1" ht="25" customHeight="1">
      <c r="B622" s="713"/>
      <c r="K622" s="953"/>
      <c r="M622" s="937"/>
      <c r="O622" s="938"/>
    </row>
  </sheetData>
  <sheetProtection algorithmName="SHA-512" hashValue="ATXPW5uEt3FV5tjXsr7j4Pgec0FFYTk2Io1CxxHywoZb7VdsTvIXKhLG4GDp4PK9JU8SjZ1v8xWVpGWrAKpemw==" saltValue="IK0ZlzYe4KhJ2xd9BAjO4g==" spinCount="100000" sheet="1" objects="1" scenarios="1" selectLockedCells="1"/>
  <mergeCells count="41"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  <mergeCell ref="D101:E101"/>
    <mergeCell ref="F101:G101"/>
    <mergeCell ref="H101:I101"/>
    <mergeCell ref="D102:E102"/>
    <mergeCell ref="F102:G102"/>
    <mergeCell ref="H102:I102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B186:F186"/>
    <mergeCell ref="B187:F187"/>
    <mergeCell ref="B221:G223"/>
    <mergeCell ref="B224:F224"/>
    <mergeCell ref="C132:D132"/>
    <mergeCell ref="E132:F132"/>
    <mergeCell ref="B137:G139"/>
    <mergeCell ref="B141:F141"/>
    <mergeCell ref="B183:G185"/>
  </mergeCells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8" r:id="rId3" tooltip="Skicka ett mail till Safespring.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618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646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" customHeight="1">
      <c r="A1" s="656"/>
      <c r="B1" s="63"/>
      <c r="C1" s="63"/>
      <c r="D1" s="2"/>
      <c r="E1" s="2"/>
      <c r="F1" s="164"/>
      <c r="G1" s="164"/>
      <c r="H1" s="164"/>
      <c r="I1" s="164"/>
      <c r="J1" s="164"/>
      <c r="K1" s="164"/>
      <c r="L1" s="166"/>
      <c r="M1" s="614"/>
      <c r="N1" s="164"/>
      <c r="O1" s="167"/>
    </row>
    <row r="2" spans="1:28" s="168" customFormat="1" ht="2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4"/>
      <c r="L2" s="166"/>
      <c r="M2" s="614"/>
      <c r="N2" s="164"/>
      <c r="O2" s="167"/>
    </row>
    <row r="3" spans="1:28" s="168" customFormat="1" ht="2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4"/>
      <c r="L3" s="166"/>
      <c r="M3" s="614"/>
      <c r="N3" s="164"/>
      <c r="O3" s="167"/>
    </row>
    <row r="4" spans="1:28" s="168" customFormat="1" ht="25" customHeight="1">
      <c r="A4" s="164"/>
      <c r="B4" s="1148"/>
      <c r="C4" s="1148"/>
      <c r="D4" s="2"/>
      <c r="E4" s="2"/>
      <c r="F4" s="164"/>
      <c r="G4" s="164"/>
      <c r="H4" s="164"/>
      <c r="I4" s="164"/>
      <c r="J4" s="164"/>
      <c r="K4" s="164"/>
      <c r="L4" s="166"/>
      <c r="M4" s="614"/>
      <c r="N4" s="164"/>
      <c r="O4" s="167"/>
    </row>
    <row r="5" spans="1:28" s="168" customFormat="1" ht="25" customHeight="1">
      <c r="A5" s="164"/>
      <c r="B5" s="67" t="s">
        <v>439</v>
      </c>
      <c r="C5" s="67"/>
      <c r="D5" s="2"/>
      <c r="E5" s="2"/>
      <c r="F5" s="164"/>
      <c r="G5" s="164"/>
      <c r="H5" s="164"/>
      <c r="I5" s="164"/>
      <c r="J5" s="164"/>
      <c r="K5" s="164"/>
      <c r="L5" s="166"/>
      <c r="M5" s="614"/>
      <c r="N5" s="164"/>
      <c r="O5" s="167"/>
    </row>
    <row r="6" spans="1:28" s="168" customFormat="1" ht="25" customHeight="1">
      <c r="A6" s="164"/>
      <c r="B6" s="429"/>
      <c r="C6" s="63"/>
      <c r="D6" s="2"/>
      <c r="E6" s="2"/>
      <c r="F6" s="164"/>
      <c r="G6" s="164"/>
      <c r="H6" s="164"/>
      <c r="I6" s="164"/>
      <c r="J6" s="164"/>
      <c r="K6" s="164"/>
      <c r="L6" s="166"/>
      <c r="M6" s="614"/>
      <c r="N6" s="164"/>
      <c r="O6" s="167"/>
    </row>
    <row r="7" spans="1:28" s="168" customFormat="1" ht="25" customHeight="1">
      <c r="A7" s="164"/>
      <c r="B7" s="430"/>
      <c r="C7" s="63"/>
      <c r="D7" s="2"/>
      <c r="E7" s="2"/>
      <c r="F7" s="164"/>
      <c r="G7" s="164"/>
      <c r="H7" s="164"/>
      <c r="I7" s="164"/>
      <c r="J7" s="164"/>
      <c r="K7" s="164"/>
      <c r="L7" s="166"/>
      <c r="M7" s="614"/>
      <c r="N7" s="164"/>
      <c r="O7" s="167"/>
    </row>
    <row r="8" spans="1:28" s="168" customFormat="1" ht="25" customHeight="1">
      <c r="A8" s="164"/>
      <c r="B8" s="70" t="s">
        <v>0</v>
      </c>
      <c r="C8" s="63"/>
      <c r="D8" s="70" t="s">
        <v>1</v>
      </c>
      <c r="E8" s="2"/>
      <c r="F8" s="164"/>
      <c r="G8" s="164"/>
      <c r="H8" s="164"/>
      <c r="I8" s="164"/>
      <c r="J8" s="164"/>
      <c r="K8" s="164"/>
      <c r="L8" s="166"/>
      <c r="M8" s="614"/>
      <c r="N8" s="164"/>
      <c r="O8" s="167"/>
    </row>
    <row r="9" spans="1:28" s="168" customFormat="1" ht="25" customHeight="1">
      <c r="A9" s="164"/>
      <c r="B9" s="79" t="s">
        <v>2</v>
      </c>
      <c r="C9" s="63"/>
      <c r="D9" s="164"/>
      <c r="E9" s="164"/>
      <c r="F9" s="164"/>
      <c r="G9" s="164"/>
      <c r="H9" s="164"/>
      <c r="I9" s="164"/>
      <c r="J9" s="164"/>
      <c r="K9" s="164"/>
      <c r="L9" s="166"/>
      <c r="M9" s="614"/>
      <c r="N9" s="164"/>
      <c r="O9" s="167"/>
    </row>
    <row r="10" spans="1:28" s="168" customFormat="1" ht="25" customHeight="1">
      <c r="A10" s="164"/>
      <c r="B10" s="470" t="s">
        <v>3</v>
      </c>
      <c r="C10" s="433"/>
      <c r="D10" s="164"/>
      <c r="E10" s="164"/>
      <c r="F10" s="164"/>
      <c r="G10" s="164"/>
      <c r="H10" s="164"/>
      <c r="I10" s="164"/>
      <c r="J10" s="164"/>
      <c r="K10" s="164"/>
      <c r="L10" s="166"/>
      <c r="M10" s="614"/>
      <c r="N10" s="164"/>
      <c r="O10" s="167"/>
    </row>
    <row r="11" spans="1:28" s="176" customFormat="1" ht="25" customHeight="1">
      <c r="A11" s="169"/>
      <c r="B11" s="64"/>
      <c r="C11" s="64"/>
      <c r="D11" s="1150" t="str">
        <f>"1 SEK = "&amp;EUR&amp;" EUR"</f>
        <v>1 SEK = 0,098 EUR</v>
      </c>
      <c r="E11" s="1150"/>
      <c r="F11" s="1150"/>
      <c r="G11" s="171"/>
      <c r="H11" s="171"/>
      <c r="I11" s="172"/>
      <c r="J11" s="169"/>
      <c r="K11" s="169"/>
      <c r="L11" s="174"/>
      <c r="M11" s="615"/>
      <c r="N11" s="169"/>
      <c r="O11" s="175"/>
    </row>
    <row r="12" spans="1:28" s="176" customFormat="1" ht="2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77"/>
      <c r="L12" s="181"/>
      <c r="M12" s="616"/>
      <c r="N12" s="182"/>
      <c r="O12" s="175"/>
    </row>
    <row r="13" spans="1:28" s="176" customFormat="1" ht="25" customHeight="1">
      <c r="B13" s="5"/>
      <c r="C13" s="4"/>
      <c r="D13" s="4"/>
      <c r="E13" s="4"/>
      <c r="G13" s="183"/>
      <c r="H13" s="183"/>
      <c r="I13" s="184"/>
      <c r="L13" s="186"/>
      <c r="M13" s="617"/>
      <c r="O13" s="175"/>
    </row>
    <row r="14" spans="1:28" s="176" customFormat="1" ht="25" customHeight="1">
      <c r="B14" s="5"/>
      <c r="C14" s="4"/>
      <c r="D14" s="4"/>
      <c r="E14" s="4"/>
      <c r="G14" s="183"/>
      <c r="H14" s="183"/>
      <c r="I14" s="184"/>
      <c r="L14" s="186"/>
      <c r="M14" s="617"/>
      <c r="O14" s="175"/>
    </row>
    <row r="15" spans="1:28" s="187" customFormat="1" ht="25" customHeight="1">
      <c r="B15" s="1140" t="s">
        <v>4</v>
      </c>
      <c r="C15" s="1140"/>
      <c r="D15" s="1140"/>
      <c r="E15" s="1140"/>
      <c r="F15" s="1140"/>
      <c r="G15" s="1140"/>
      <c r="H15" s="188"/>
      <c r="J15" s="189"/>
      <c r="L15" s="190"/>
      <c r="M15" s="618"/>
      <c r="O15" s="191"/>
      <c r="U15" s="192"/>
      <c r="Z15" s="192"/>
      <c r="AA15" s="192"/>
      <c r="AB15" s="192"/>
    </row>
    <row r="16" spans="1:28" s="187" customFormat="1" ht="25" customHeight="1">
      <c r="B16" s="1140"/>
      <c r="C16" s="1140"/>
      <c r="D16" s="1140"/>
      <c r="E16" s="1140"/>
      <c r="F16" s="1140"/>
      <c r="G16" s="1140"/>
      <c r="H16" s="188"/>
      <c r="J16" s="189"/>
      <c r="L16" s="190"/>
      <c r="M16" s="618"/>
      <c r="O16" s="191"/>
      <c r="U16" s="192"/>
      <c r="Z16" s="192"/>
      <c r="AA16" s="192"/>
      <c r="AB16" s="192"/>
    </row>
    <row r="17" spans="2:28" s="187" customFormat="1" ht="25" customHeight="1">
      <c r="B17" s="1140"/>
      <c r="C17" s="1140"/>
      <c r="D17" s="1140"/>
      <c r="E17" s="1140"/>
      <c r="F17" s="1140"/>
      <c r="G17" s="1140"/>
      <c r="H17" s="188"/>
      <c r="J17" s="189"/>
      <c r="L17" s="190"/>
      <c r="M17" s="618"/>
      <c r="O17" s="191"/>
      <c r="U17" s="192"/>
      <c r="Z17" s="192"/>
      <c r="AA17" s="192"/>
      <c r="AB17" s="192"/>
    </row>
    <row r="18" spans="2:28" s="187" customFormat="1" ht="25" customHeight="1">
      <c r="B18" s="599" t="s">
        <v>5</v>
      </c>
      <c r="C18" s="446"/>
      <c r="D18" s="446"/>
      <c r="E18" s="446"/>
      <c r="F18" s="584"/>
      <c r="H18" s="188"/>
      <c r="J18" s="189"/>
      <c r="L18" s="190"/>
      <c r="M18" s="618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" customHeight="1">
      <c r="B19" s="1147" t="s">
        <v>6</v>
      </c>
      <c r="C19" s="1147"/>
      <c r="D19" s="1147"/>
      <c r="E19" s="1147"/>
      <c r="F19" s="1147"/>
      <c r="G19" s="194"/>
      <c r="H19" s="195"/>
      <c r="I19" s="194"/>
      <c r="J19" s="196"/>
      <c r="K19" s="194"/>
      <c r="L19" s="198"/>
      <c r="M19" s="619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" customHeight="1">
      <c r="B20" s="602" t="s">
        <v>407</v>
      </c>
      <c r="C20" s="76"/>
      <c r="D20" s="76"/>
      <c r="E20" s="76"/>
      <c r="F20" s="576"/>
      <c r="G20" s="194"/>
      <c r="H20" s="195"/>
      <c r="I20" s="194"/>
      <c r="J20" s="196"/>
      <c r="K20" s="194"/>
      <c r="L20" s="198"/>
      <c r="M20" s="619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" customHeight="1">
      <c r="B21" s="140"/>
      <c r="C21" s="140"/>
      <c r="D21" s="140"/>
      <c r="E21" s="140"/>
      <c r="F21" s="576"/>
      <c r="G21" s="194"/>
      <c r="H21" s="195"/>
      <c r="I21" s="194"/>
      <c r="J21" s="196"/>
      <c r="K21" s="194"/>
      <c r="L21" s="198"/>
      <c r="M21" s="619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" customHeight="1">
      <c r="B22" s="140"/>
      <c r="C22" s="140"/>
      <c r="D22" s="140"/>
      <c r="E22" s="140"/>
      <c r="F22" s="576"/>
      <c r="G22" s="194"/>
      <c r="H22" s="195"/>
      <c r="I22" s="194"/>
      <c r="J22" s="196"/>
      <c r="K22" s="194"/>
      <c r="L22" s="198"/>
      <c r="M22" s="619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25" customHeight="1">
      <c r="B23" s="477" t="s">
        <v>8</v>
      </c>
      <c r="C23" s="11"/>
      <c r="D23" s="11"/>
      <c r="I23" s="168"/>
      <c r="K23" s="204"/>
      <c r="L23" s="202"/>
      <c r="O23" s="205"/>
    </row>
    <row r="24" spans="2:28" s="210" customFormat="1" ht="25" customHeight="1">
      <c r="B24" s="478" t="s">
        <v>9</v>
      </c>
      <c r="C24" s="13" t="s">
        <v>10</v>
      </c>
      <c r="D24" s="13" t="s">
        <v>11</v>
      </c>
      <c r="E24" s="14" t="s">
        <v>12</v>
      </c>
      <c r="F24" s="206"/>
      <c r="G24" s="207" t="s">
        <v>13</v>
      </c>
      <c r="H24" s="662" t="s">
        <v>420</v>
      </c>
      <c r="I24" s="208" t="s">
        <v>15</v>
      </c>
      <c r="J24" s="209"/>
      <c r="K24" s="207" t="s">
        <v>17</v>
      </c>
      <c r="O24" s="211"/>
      <c r="Q24" s="212"/>
      <c r="R24" s="213"/>
      <c r="S24" s="213"/>
      <c r="T24" s="213"/>
      <c r="U24" s="212"/>
    </row>
    <row r="25" spans="2:28" s="192" customFormat="1" ht="25" customHeight="1">
      <c r="B25" s="479" t="s">
        <v>19</v>
      </c>
      <c r="C25" s="16">
        <v>1</v>
      </c>
      <c r="D25" s="16">
        <v>1</v>
      </c>
      <c r="E25" s="16">
        <v>40</v>
      </c>
      <c r="F25" s="214"/>
      <c r="G25" s="434">
        <f t="shared" ref="G25:G37" si="0">H25/720</f>
        <v>3.7974999999999995E-2</v>
      </c>
      <c r="H25" s="434">
        <f>C25*IAAS_vcpu_EUR+D25*IAAS_ram_EUR+E25*IAAS_ssd_EUR</f>
        <v>27.341999999999999</v>
      </c>
      <c r="I25" s="217"/>
      <c r="J25" s="214" t="s">
        <v>15</v>
      </c>
      <c r="K25" s="436">
        <f t="shared" ref="K25:K37" si="1">ROUNDUP(I25*H25,2)</f>
        <v>0</v>
      </c>
      <c r="O25" s="219"/>
    </row>
    <row r="26" spans="2:28" s="192" customFormat="1" ht="25" customHeight="1">
      <c r="B26" s="480" t="s">
        <v>20</v>
      </c>
      <c r="C26" s="18">
        <v>1</v>
      </c>
      <c r="D26" s="18">
        <v>2</v>
      </c>
      <c r="E26" s="603">
        <v>40</v>
      </c>
      <c r="F26" s="220"/>
      <c r="G26" s="435">
        <f t="shared" si="0"/>
        <v>4.5461111111111112E-2</v>
      </c>
      <c r="H26" s="435">
        <f>C26*IAAS_vcpu_EUR+D26*IAAS_ram_EUR+E26*IAAS_ssd_EUR</f>
        <v>32.731999999999999</v>
      </c>
      <c r="I26" s="217"/>
      <c r="J26" s="220" t="str">
        <f t="shared" ref="J26:J33" si="2">J25</f>
        <v>Instances</v>
      </c>
      <c r="K26" s="437">
        <f t="shared" si="1"/>
        <v>0</v>
      </c>
      <c r="O26" s="219"/>
    </row>
    <row r="27" spans="2:28" s="192" customFormat="1" ht="25" customHeight="1">
      <c r="B27" s="479" t="s">
        <v>21</v>
      </c>
      <c r="C27" s="16">
        <v>2</v>
      </c>
      <c r="D27" s="16">
        <v>4</v>
      </c>
      <c r="E27" s="16">
        <v>40</v>
      </c>
      <c r="F27" s="214"/>
      <c r="G27" s="434">
        <f t="shared" si="0"/>
        <v>7.1322222222222231E-2</v>
      </c>
      <c r="H27" s="434">
        <f t="shared" ref="H27:H36" si="3">C27*IAAS_vcpu_EUR+D27*IAAS_ram_EUR+E27*IAAS_ssd_EUR</f>
        <v>51.352000000000004</v>
      </c>
      <c r="I27" s="217"/>
      <c r="J27" s="214" t="str">
        <f t="shared" si="2"/>
        <v>Instances</v>
      </c>
      <c r="K27" s="436">
        <f t="shared" si="1"/>
        <v>0</v>
      </c>
      <c r="L27" s="224"/>
      <c r="O27" s="219"/>
    </row>
    <row r="28" spans="2:28" s="192" customFormat="1" ht="25" customHeight="1">
      <c r="B28" s="480" t="s">
        <v>22</v>
      </c>
      <c r="C28" s="18">
        <v>4</v>
      </c>
      <c r="D28" s="18">
        <v>8</v>
      </c>
      <c r="E28" s="603">
        <v>40</v>
      </c>
      <c r="F28" s="220"/>
      <c r="G28" s="435">
        <f t="shared" si="0"/>
        <v>0.12304444444444444</v>
      </c>
      <c r="H28" s="435">
        <f t="shared" si="3"/>
        <v>88.591999999999999</v>
      </c>
      <c r="I28" s="217"/>
      <c r="J28" s="220" t="str">
        <f t="shared" si="2"/>
        <v>Instances</v>
      </c>
      <c r="K28" s="437">
        <f t="shared" si="1"/>
        <v>0</v>
      </c>
      <c r="O28" s="219"/>
    </row>
    <row r="29" spans="2:28" s="192" customFormat="1" ht="25" customHeight="1">
      <c r="B29" s="479" t="s">
        <v>23</v>
      </c>
      <c r="C29" s="16">
        <v>8</v>
      </c>
      <c r="D29" s="16">
        <v>16</v>
      </c>
      <c r="E29" s="16">
        <v>40</v>
      </c>
      <c r="F29" s="214"/>
      <c r="G29" s="434">
        <f t="shared" si="0"/>
        <v>0.22648888888888891</v>
      </c>
      <c r="H29" s="434">
        <f t="shared" si="3"/>
        <v>163.072</v>
      </c>
      <c r="I29" s="217"/>
      <c r="J29" s="214" t="str">
        <f t="shared" si="2"/>
        <v>Instances</v>
      </c>
      <c r="K29" s="436">
        <f t="shared" si="1"/>
        <v>0</v>
      </c>
      <c r="O29" s="219"/>
    </row>
    <row r="30" spans="2:28" s="192" customFormat="1" ht="25" customHeight="1">
      <c r="B30" s="480" t="s">
        <v>24</v>
      </c>
      <c r="C30" s="18">
        <v>16</v>
      </c>
      <c r="D30" s="18">
        <v>32</v>
      </c>
      <c r="E30" s="603">
        <v>40</v>
      </c>
      <c r="F30" s="220"/>
      <c r="G30" s="435">
        <f t="shared" si="0"/>
        <v>0.43337777777777781</v>
      </c>
      <c r="H30" s="435">
        <f t="shared" si="3"/>
        <v>312.03200000000004</v>
      </c>
      <c r="I30" s="217"/>
      <c r="J30" s="220" t="str">
        <f t="shared" si="2"/>
        <v>Instances</v>
      </c>
      <c r="K30" s="437">
        <f t="shared" si="1"/>
        <v>0</v>
      </c>
      <c r="O30" s="219"/>
    </row>
    <row r="31" spans="2:28" s="192" customFormat="1" ht="25" customHeight="1">
      <c r="B31" s="479" t="s">
        <v>25</v>
      </c>
      <c r="C31" s="16">
        <v>1</v>
      </c>
      <c r="D31" s="16">
        <v>4</v>
      </c>
      <c r="E31" s="16">
        <v>40</v>
      </c>
      <c r="F31" s="214"/>
      <c r="G31" s="434">
        <f t="shared" si="0"/>
        <v>6.0433333333333332E-2</v>
      </c>
      <c r="H31" s="434">
        <f t="shared" si="3"/>
        <v>43.512</v>
      </c>
      <c r="I31" s="217"/>
      <c r="J31" s="214" t="str">
        <f t="shared" si="2"/>
        <v>Instances</v>
      </c>
      <c r="K31" s="436">
        <f t="shared" si="1"/>
        <v>0</v>
      </c>
      <c r="O31" s="219"/>
    </row>
    <row r="32" spans="2:28" s="192" customFormat="1" ht="25" customHeight="1">
      <c r="B32" s="480" t="s">
        <v>26</v>
      </c>
      <c r="C32" s="18">
        <v>2</v>
      </c>
      <c r="D32" s="18">
        <v>8</v>
      </c>
      <c r="E32" s="603">
        <v>40</v>
      </c>
      <c r="F32" s="220"/>
      <c r="G32" s="435">
        <f t="shared" si="0"/>
        <v>0.10126666666666667</v>
      </c>
      <c r="H32" s="435">
        <f t="shared" si="3"/>
        <v>72.912000000000006</v>
      </c>
      <c r="I32" s="217"/>
      <c r="J32" s="220" t="str">
        <f t="shared" si="2"/>
        <v>Instances</v>
      </c>
      <c r="K32" s="437">
        <f t="shared" si="1"/>
        <v>0</v>
      </c>
      <c r="O32" s="219"/>
    </row>
    <row r="33" spans="2:20" s="192" customFormat="1" ht="25" customHeight="1">
      <c r="B33" s="479" t="s">
        <v>27</v>
      </c>
      <c r="C33" s="16">
        <v>4</v>
      </c>
      <c r="D33" s="16">
        <v>16</v>
      </c>
      <c r="E33" s="16">
        <v>40</v>
      </c>
      <c r="F33" s="214"/>
      <c r="G33" s="434">
        <f t="shared" si="0"/>
        <v>0.18293333333333336</v>
      </c>
      <c r="H33" s="434">
        <f t="shared" si="3"/>
        <v>131.71200000000002</v>
      </c>
      <c r="I33" s="217"/>
      <c r="J33" s="214" t="str">
        <f t="shared" si="2"/>
        <v>Instances</v>
      </c>
      <c r="K33" s="436">
        <f t="shared" si="1"/>
        <v>0</v>
      </c>
      <c r="O33" s="219"/>
    </row>
    <row r="34" spans="2:20" s="192" customFormat="1" ht="25" customHeight="1">
      <c r="B34" s="480" t="s">
        <v>28</v>
      </c>
      <c r="C34" s="18">
        <v>8</v>
      </c>
      <c r="D34" s="18">
        <v>32</v>
      </c>
      <c r="E34" s="603">
        <v>40</v>
      </c>
      <c r="F34" s="220"/>
      <c r="G34" s="435">
        <f t="shared" ref="G34:G35" si="4">H34/720</f>
        <v>0.34626666666666667</v>
      </c>
      <c r="H34" s="435">
        <f t="shared" ref="H34" si="5">C34*IAAS_vcpu_EUR+D34*IAAS_ram_EUR+E34*IAAS_ssd_EUR</f>
        <v>249.31200000000001</v>
      </c>
      <c r="I34" s="217"/>
      <c r="J34" s="220" t="str">
        <f>J33</f>
        <v>Instances</v>
      </c>
      <c r="K34" s="437">
        <f t="shared" si="1"/>
        <v>0</v>
      </c>
      <c r="O34" s="219"/>
      <c r="R34" s="200"/>
      <c r="S34" s="200"/>
      <c r="T34" s="200"/>
    </row>
    <row r="35" spans="2:20" s="192" customFormat="1" ht="25" customHeight="1">
      <c r="B35" s="479" t="s">
        <v>29</v>
      </c>
      <c r="C35" s="16">
        <v>16</v>
      </c>
      <c r="D35" s="16">
        <v>64</v>
      </c>
      <c r="E35" s="16">
        <v>40</v>
      </c>
      <c r="F35" s="214"/>
      <c r="G35" s="434">
        <f t="shared" si="4"/>
        <v>0.67293333333333338</v>
      </c>
      <c r="H35" s="434">
        <f>C35*IAAS_vcpu_EUR+D35*IAAS_ram_EUR+E35*IAAS_ssd_EUR</f>
        <v>484.51200000000006</v>
      </c>
      <c r="I35" s="217"/>
      <c r="J35" s="214" t="str">
        <f>J34</f>
        <v>Instances</v>
      </c>
      <c r="K35" s="436">
        <f t="shared" si="1"/>
        <v>0</v>
      </c>
      <c r="O35" s="219"/>
      <c r="R35" s="200"/>
      <c r="S35" s="200"/>
      <c r="T35" s="200"/>
    </row>
    <row r="36" spans="2:20" s="192" customFormat="1" ht="25" customHeight="1">
      <c r="B36" s="480" t="s">
        <v>398</v>
      </c>
      <c r="C36" s="18">
        <v>32</v>
      </c>
      <c r="D36" s="18">
        <v>128</v>
      </c>
      <c r="E36" s="603">
        <v>40</v>
      </c>
      <c r="F36" s="220"/>
      <c r="G36" s="435">
        <f t="shared" si="0"/>
        <v>1.3262666666666667</v>
      </c>
      <c r="H36" s="435">
        <f t="shared" si="3"/>
        <v>954.91200000000003</v>
      </c>
      <c r="I36" s="217"/>
      <c r="J36" s="220" t="str">
        <f>J35</f>
        <v>Instances</v>
      </c>
      <c r="K36" s="437">
        <f t="shared" si="1"/>
        <v>0</v>
      </c>
      <c r="O36" s="219"/>
      <c r="R36" s="200"/>
      <c r="S36" s="200"/>
      <c r="T36" s="200"/>
    </row>
    <row r="37" spans="2:20" s="192" customFormat="1" ht="25" customHeight="1">
      <c r="B37" s="479" t="s">
        <v>399</v>
      </c>
      <c r="C37" s="16">
        <v>64</v>
      </c>
      <c r="D37" s="16">
        <v>256</v>
      </c>
      <c r="E37" s="16">
        <v>40</v>
      </c>
      <c r="F37" s="214"/>
      <c r="G37" s="434">
        <f t="shared" si="0"/>
        <v>2.6329333333333338</v>
      </c>
      <c r="H37" s="434">
        <f>C37*IAAS_vcpu_EUR+D37*IAAS_ram_EUR+E37*IAAS_ssd_EUR</f>
        <v>1895.7120000000002</v>
      </c>
      <c r="I37" s="217"/>
      <c r="J37" s="214" t="str">
        <f>J36</f>
        <v>Instances</v>
      </c>
      <c r="K37" s="436">
        <f t="shared" si="1"/>
        <v>0</v>
      </c>
      <c r="O37" s="219"/>
      <c r="R37" s="200"/>
      <c r="S37" s="200"/>
      <c r="T37" s="200"/>
    </row>
    <row r="38" spans="2:20" ht="25" customHeight="1">
      <c r="B38" s="481" t="s">
        <v>30</v>
      </c>
      <c r="C38" s="610" cm="1">
        <f t="array" ref="C38">SUM(C25:C37*I25:I37)</f>
        <v>0</v>
      </c>
      <c r="D38" s="610" cm="1">
        <f t="array" ref="D38">SUM(D25:D37*I25:I37)</f>
        <v>0</v>
      </c>
      <c r="E38" s="610" cm="1">
        <f t="array" ref="E38">SUM(E25:E37*I25:I37)</f>
        <v>0</v>
      </c>
      <c r="F38" s="481"/>
      <c r="G38" s="481"/>
      <c r="H38" s="481"/>
      <c r="I38" s="610">
        <f>SUM(I25:I37)</f>
        <v>0</v>
      </c>
      <c r="J38" s="481"/>
      <c r="K38" s="611" t="str">
        <f>SUM(K25:K37)&amp;" €"</f>
        <v>0 €</v>
      </c>
      <c r="L38" s="202"/>
      <c r="O38" s="205"/>
      <c r="R38" s="200"/>
      <c r="S38" s="200"/>
      <c r="T38" s="228"/>
    </row>
    <row r="39" spans="2:20" ht="25" customHeight="1">
      <c r="B39" s="482"/>
      <c r="C39" s="21"/>
      <c r="D39" s="21"/>
      <c r="E39" s="21"/>
      <c r="F39" s="229"/>
      <c r="G39" s="230"/>
      <c r="H39" s="231"/>
      <c r="I39" s="50"/>
      <c r="J39" s="232"/>
      <c r="K39" s="50"/>
      <c r="L39" s="202"/>
      <c r="O39" s="205"/>
      <c r="R39" s="200"/>
      <c r="S39" s="200"/>
      <c r="T39" s="228"/>
    </row>
    <row r="40" spans="2:20" ht="25" customHeight="1">
      <c r="B40" s="482"/>
      <c r="C40" s="21"/>
      <c r="D40" s="21"/>
      <c r="E40" s="21"/>
      <c r="F40" s="229"/>
      <c r="G40" s="230"/>
      <c r="H40" s="231"/>
      <c r="I40" s="50"/>
      <c r="J40" s="232"/>
      <c r="K40" s="50"/>
      <c r="L40" s="202"/>
      <c r="O40" s="205"/>
      <c r="R40" s="200"/>
      <c r="S40" s="200"/>
      <c r="T40" s="228"/>
    </row>
    <row r="41" spans="2:20" s="237" customFormat="1" ht="25" customHeight="1">
      <c r="B41" s="447" t="s">
        <v>31</v>
      </c>
      <c r="C41" s="111"/>
      <c r="D41" s="111"/>
      <c r="E41" s="111"/>
      <c r="F41" s="233"/>
      <c r="G41" s="233"/>
      <c r="H41" s="234"/>
      <c r="I41" s="235"/>
      <c r="J41" s="235"/>
      <c r="K41" s="236"/>
      <c r="O41" s="238"/>
      <c r="R41" s="239"/>
      <c r="S41" s="239"/>
      <c r="T41" s="240"/>
    </row>
    <row r="42" spans="2:20" s="241" customFormat="1" ht="25" customHeight="1">
      <c r="B42" s="478" t="s">
        <v>9</v>
      </c>
      <c r="C42" s="13" t="s">
        <v>10</v>
      </c>
      <c r="D42" s="13" t="s">
        <v>11</v>
      </c>
      <c r="E42" s="14" t="s">
        <v>32</v>
      </c>
      <c r="F42" s="206"/>
      <c r="G42" s="207" t="s">
        <v>13</v>
      </c>
      <c r="H42" s="662" t="s">
        <v>420</v>
      </c>
      <c r="I42" s="208" t="s">
        <v>15</v>
      </c>
      <c r="J42" s="209"/>
      <c r="K42" s="207" t="s">
        <v>17</v>
      </c>
      <c r="O42" s="205"/>
      <c r="P42" s="202"/>
      <c r="Q42" s="202"/>
      <c r="R42" s="200"/>
      <c r="S42" s="200"/>
      <c r="T42" s="228"/>
    </row>
    <row r="43" spans="2:20" s="192" customFormat="1" ht="25" customHeight="1">
      <c r="B43" s="484" t="s">
        <v>33</v>
      </c>
      <c r="C43" s="99">
        <v>1</v>
      </c>
      <c r="D43" s="99">
        <v>1</v>
      </c>
      <c r="E43" s="101">
        <v>10</v>
      </c>
      <c r="F43" s="246"/>
      <c r="G43" s="440">
        <f t="shared" ref="G43:G65" si="6">H43/720</f>
        <v>1.9736111111111114E-2</v>
      </c>
      <c r="H43" s="440">
        <f t="shared" ref="H43:H65" si="7">C43*IAAS_vcpu_EUR+D43*IAAS_ram_EUR+E43*IAAS_nvme_EUR</f>
        <v>14.21</v>
      </c>
      <c r="I43" s="217"/>
      <c r="J43" s="249" t="str">
        <f>J37</f>
        <v>Instances</v>
      </c>
      <c r="K43" s="436">
        <f t="shared" ref="K43:K66" si="8">ROUNDUP(I43*H43,2)</f>
        <v>0</v>
      </c>
      <c r="O43" s="219"/>
      <c r="R43" s="200"/>
      <c r="T43" s="200"/>
    </row>
    <row r="44" spans="2:20" s="192" customFormat="1" ht="25" customHeight="1">
      <c r="B44" s="485" t="s">
        <v>403</v>
      </c>
      <c r="C44" s="100">
        <v>1</v>
      </c>
      <c r="D44" s="100">
        <v>2</v>
      </c>
      <c r="E44" s="120">
        <v>20</v>
      </c>
      <c r="F44" s="250"/>
      <c r="G44" s="439">
        <f t="shared" si="6"/>
        <v>2.8583333333333336E-2</v>
      </c>
      <c r="H44" s="439">
        <f t="shared" si="7"/>
        <v>20.580000000000002</v>
      </c>
      <c r="I44" s="217"/>
      <c r="J44" s="251" t="str">
        <f>J43</f>
        <v>Instances</v>
      </c>
      <c r="K44" s="437">
        <f t="shared" si="8"/>
        <v>0</v>
      </c>
      <c r="O44" s="219"/>
      <c r="R44" s="200"/>
      <c r="T44" s="200"/>
    </row>
    <row r="45" spans="2:20" s="192" customFormat="1" ht="25" customHeight="1">
      <c r="B45" s="484" t="s">
        <v>405</v>
      </c>
      <c r="C45" s="99">
        <v>2</v>
      </c>
      <c r="D45" s="99">
        <v>4</v>
      </c>
      <c r="E45" s="101">
        <v>250</v>
      </c>
      <c r="F45" s="246"/>
      <c r="G45" s="440">
        <f t="shared" si="6"/>
        <v>8.5750000000000007E-2</v>
      </c>
      <c r="H45" s="440">
        <f t="shared" si="7"/>
        <v>61.74</v>
      </c>
      <c r="I45" s="217"/>
      <c r="J45" s="249" t="str">
        <f t="shared" ref="J45:J66" si="9">J44</f>
        <v>Instances</v>
      </c>
      <c r="K45" s="436">
        <f t="shared" si="8"/>
        <v>0</v>
      </c>
      <c r="O45" s="219"/>
      <c r="R45" s="200"/>
      <c r="T45" s="200"/>
    </row>
    <row r="46" spans="2:20" s="192" customFormat="1" ht="25" customHeight="1">
      <c r="B46" s="485" t="s">
        <v>34</v>
      </c>
      <c r="C46" s="100">
        <v>4</v>
      </c>
      <c r="D46" s="100">
        <v>8</v>
      </c>
      <c r="E46" s="120">
        <v>250</v>
      </c>
      <c r="F46" s="250"/>
      <c r="G46" s="439">
        <f t="shared" si="6"/>
        <v>0.13747222222222222</v>
      </c>
      <c r="H46" s="439">
        <f t="shared" si="7"/>
        <v>98.98</v>
      </c>
      <c r="I46" s="217"/>
      <c r="J46" s="251" t="str">
        <f t="shared" si="9"/>
        <v>Instances</v>
      </c>
      <c r="K46" s="437">
        <f t="shared" si="8"/>
        <v>0</v>
      </c>
      <c r="O46" s="219"/>
      <c r="R46" s="200"/>
      <c r="T46" s="200"/>
    </row>
    <row r="47" spans="2:20" s="192" customFormat="1" ht="25" customHeight="1">
      <c r="B47" s="484" t="s">
        <v>35</v>
      </c>
      <c r="C47" s="99">
        <v>8</v>
      </c>
      <c r="D47" s="99">
        <v>16</v>
      </c>
      <c r="E47" s="101">
        <v>250</v>
      </c>
      <c r="F47" s="246"/>
      <c r="G47" s="440">
        <f t="shared" si="6"/>
        <v>0.24091666666666667</v>
      </c>
      <c r="H47" s="440">
        <f t="shared" si="7"/>
        <v>173.46</v>
      </c>
      <c r="I47" s="217"/>
      <c r="J47" s="249" t="str">
        <f t="shared" si="9"/>
        <v>Instances</v>
      </c>
      <c r="K47" s="436">
        <f t="shared" si="8"/>
        <v>0</v>
      </c>
      <c r="O47" s="219"/>
      <c r="R47" s="200"/>
      <c r="T47" s="200"/>
    </row>
    <row r="48" spans="2:20" s="192" customFormat="1" ht="25" customHeight="1">
      <c r="B48" s="485" t="s">
        <v>36</v>
      </c>
      <c r="C48" s="100">
        <v>16</v>
      </c>
      <c r="D48" s="100">
        <v>32</v>
      </c>
      <c r="E48" s="120">
        <v>250</v>
      </c>
      <c r="F48" s="250"/>
      <c r="G48" s="439">
        <f t="shared" si="6"/>
        <v>0.44780555555555557</v>
      </c>
      <c r="H48" s="439">
        <f t="shared" si="7"/>
        <v>322.42</v>
      </c>
      <c r="I48" s="217"/>
      <c r="J48" s="251" t="str">
        <f t="shared" si="9"/>
        <v>Instances</v>
      </c>
      <c r="K48" s="437">
        <f t="shared" si="8"/>
        <v>0</v>
      </c>
      <c r="O48" s="219"/>
      <c r="R48" s="200"/>
      <c r="T48" s="200"/>
    </row>
    <row r="49" spans="2:20" s="192" customFormat="1" ht="25" customHeight="1">
      <c r="B49" s="484" t="s">
        <v>37</v>
      </c>
      <c r="C49" s="99">
        <v>16</v>
      </c>
      <c r="D49" s="99">
        <v>32</v>
      </c>
      <c r="E49" s="101">
        <v>500</v>
      </c>
      <c r="F49" s="246"/>
      <c r="G49" s="440">
        <f t="shared" si="6"/>
        <v>0.48183333333333334</v>
      </c>
      <c r="H49" s="440">
        <f t="shared" si="7"/>
        <v>346.92</v>
      </c>
      <c r="I49" s="217"/>
      <c r="J49" s="249" t="str">
        <f t="shared" si="9"/>
        <v>Instances</v>
      </c>
      <c r="K49" s="436">
        <f t="shared" si="8"/>
        <v>0</v>
      </c>
      <c r="O49" s="219"/>
      <c r="R49" s="200"/>
      <c r="T49" s="200"/>
    </row>
    <row r="50" spans="2:20" s="192" customFormat="1" ht="25" customHeight="1">
      <c r="B50" s="485" t="s">
        <v>38</v>
      </c>
      <c r="C50" s="100">
        <v>16</v>
      </c>
      <c r="D50" s="100">
        <v>32</v>
      </c>
      <c r="E50" s="120">
        <v>1000</v>
      </c>
      <c r="F50" s="250"/>
      <c r="G50" s="439">
        <f t="shared" si="6"/>
        <v>0.54988888888888887</v>
      </c>
      <c r="H50" s="439">
        <f t="shared" si="7"/>
        <v>395.92</v>
      </c>
      <c r="I50" s="217"/>
      <c r="J50" s="251" t="str">
        <f t="shared" si="9"/>
        <v>Instances</v>
      </c>
      <c r="K50" s="437">
        <f t="shared" si="8"/>
        <v>0</v>
      </c>
      <c r="O50" s="219"/>
      <c r="R50" s="200"/>
      <c r="T50" s="200"/>
    </row>
    <row r="51" spans="2:20" s="192" customFormat="1" ht="25" customHeight="1">
      <c r="B51" s="484" t="s">
        <v>39</v>
      </c>
      <c r="C51" s="99">
        <v>32</v>
      </c>
      <c r="D51" s="99">
        <v>64</v>
      </c>
      <c r="E51" s="101">
        <v>250</v>
      </c>
      <c r="F51" s="246"/>
      <c r="G51" s="440">
        <f t="shared" si="6"/>
        <v>0.86158333333333337</v>
      </c>
      <c r="H51" s="440">
        <f t="shared" si="7"/>
        <v>620.34</v>
      </c>
      <c r="I51" s="217"/>
      <c r="J51" s="249" t="str">
        <f t="shared" si="9"/>
        <v>Instances</v>
      </c>
      <c r="K51" s="436">
        <f t="shared" si="8"/>
        <v>0</v>
      </c>
      <c r="O51" s="219"/>
      <c r="R51" s="200"/>
      <c r="T51" s="200"/>
    </row>
    <row r="52" spans="2:20" s="192" customFormat="1" ht="25" customHeight="1">
      <c r="B52" s="485" t="s">
        <v>40</v>
      </c>
      <c r="C52" s="100">
        <v>32</v>
      </c>
      <c r="D52" s="100">
        <v>64</v>
      </c>
      <c r="E52" s="120">
        <v>500</v>
      </c>
      <c r="F52" s="250"/>
      <c r="G52" s="439">
        <f t="shared" si="6"/>
        <v>0.89561111111111114</v>
      </c>
      <c r="H52" s="439">
        <f t="shared" si="7"/>
        <v>644.84</v>
      </c>
      <c r="I52" s="217"/>
      <c r="J52" s="251" t="str">
        <f>J47</f>
        <v>Instances</v>
      </c>
      <c r="K52" s="437">
        <f t="shared" si="8"/>
        <v>0</v>
      </c>
      <c r="O52" s="219"/>
      <c r="R52" s="200"/>
      <c r="T52" s="200"/>
    </row>
    <row r="53" spans="2:20" s="192" customFormat="1" ht="25" customHeight="1">
      <c r="B53" s="484" t="s">
        <v>41</v>
      </c>
      <c r="C53" s="99">
        <v>32</v>
      </c>
      <c r="D53" s="99">
        <v>64</v>
      </c>
      <c r="E53" s="101">
        <v>1000</v>
      </c>
      <c r="F53" s="246"/>
      <c r="G53" s="440">
        <f t="shared" si="6"/>
        <v>0.96366666666666667</v>
      </c>
      <c r="H53" s="440">
        <f t="shared" si="7"/>
        <v>693.84</v>
      </c>
      <c r="I53" s="217"/>
      <c r="J53" s="249" t="str">
        <f t="shared" si="9"/>
        <v>Instances</v>
      </c>
      <c r="K53" s="436">
        <f t="shared" si="8"/>
        <v>0</v>
      </c>
      <c r="O53" s="219"/>
      <c r="R53" s="200"/>
      <c r="T53" s="200"/>
    </row>
    <row r="54" spans="2:20" s="192" customFormat="1" ht="25" customHeight="1">
      <c r="B54" s="485" t="s">
        <v>404</v>
      </c>
      <c r="C54" s="100">
        <v>1</v>
      </c>
      <c r="D54" s="100">
        <v>4</v>
      </c>
      <c r="E54" s="120">
        <v>20</v>
      </c>
      <c r="F54" s="250"/>
      <c r="G54" s="439">
        <f t="shared" si="6"/>
        <v>4.3555555555555563E-2</v>
      </c>
      <c r="H54" s="439">
        <f t="shared" si="7"/>
        <v>31.360000000000003</v>
      </c>
      <c r="I54" s="217"/>
      <c r="J54" s="251" t="str">
        <f t="shared" si="9"/>
        <v>Instances</v>
      </c>
      <c r="K54" s="437">
        <f t="shared" si="8"/>
        <v>0</v>
      </c>
      <c r="O54" s="219"/>
      <c r="R54" s="200"/>
      <c r="T54" s="200"/>
    </row>
    <row r="55" spans="2:20" s="192" customFormat="1" ht="25" customHeight="1">
      <c r="B55" s="484" t="s">
        <v>406</v>
      </c>
      <c r="C55" s="99">
        <v>2</v>
      </c>
      <c r="D55" s="99">
        <v>8</v>
      </c>
      <c r="E55" s="101">
        <v>250</v>
      </c>
      <c r="F55" s="246"/>
      <c r="G55" s="440">
        <f t="shared" si="6"/>
        <v>0.11569444444444446</v>
      </c>
      <c r="H55" s="440">
        <f t="shared" si="7"/>
        <v>83.300000000000011</v>
      </c>
      <c r="I55" s="217"/>
      <c r="J55" s="249" t="str">
        <f t="shared" si="9"/>
        <v>Instances</v>
      </c>
      <c r="K55" s="436">
        <f t="shared" si="8"/>
        <v>0</v>
      </c>
      <c r="O55" s="219"/>
      <c r="R55" s="200"/>
      <c r="T55" s="200"/>
    </row>
    <row r="56" spans="2:20" s="192" customFormat="1" ht="25" customHeight="1">
      <c r="B56" s="485" t="s">
        <v>42</v>
      </c>
      <c r="C56" s="100">
        <v>4</v>
      </c>
      <c r="D56" s="100">
        <v>16</v>
      </c>
      <c r="E56" s="120">
        <v>250</v>
      </c>
      <c r="F56" s="250"/>
      <c r="G56" s="439">
        <f t="shared" si="6"/>
        <v>0.19736111111111115</v>
      </c>
      <c r="H56" s="439">
        <f t="shared" si="7"/>
        <v>142.10000000000002</v>
      </c>
      <c r="I56" s="217"/>
      <c r="J56" s="251" t="str">
        <f t="shared" si="9"/>
        <v>Instances</v>
      </c>
      <c r="K56" s="437">
        <f t="shared" si="8"/>
        <v>0</v>
      </c>
      <c r="O56" s="219"/>
      <c r="R56" s="200"/>
      <c r="T56" s="200"/>
    </row>
    <row r="57" spans="2:20" s="192" customFormat="1" ht="25" customHeight="1">
      <c r="B57" s="484" t="s">
        <v>43</v>
      </c>
      <c r="C57" s="99">
        <v>8</v>
      </c>
      <c r="D57" s="99">
        <v>32</v>
      </c>
      <c r="E57" s="101">
        <v>250</v>
      </c>
      <c r="F57" s="246"/>
      <c r="G57" s="440">
        <f t="shared" si="6"/>
        <v>0.36069444444444448</v>
      </c>
      <c r="H57" s="440">
        <f t="shared" si="7"/>
        <v>259.70000000000005</v>
      </c>
      <c r="I57" s="217"/>
      <c r="J57" s="249" t="str">
        <f t="shared" si="9"/>
        <v>Instances</v>
      </c>
      <c r="K57" s="436">
        <f t="shared" si="8"/>
        <v>0</v>
      </c>
      <c r="O57" s="219"/>
      <c r="R57" s="200"/>
      <c r="T57" s="200"/>
    </row>
    <row r="58" spans="2:20" s="192" customFormat="1" ht="25" customHeight="1">
      <c r="B58" s="485" t="s">
        <v>44</v>
      </c>
      <c r="C58" s="100">
        <v>8</v>
      </c>
      <c r="D58" s="100">
        <v>32</v>
      </c>
      <c r="E58" s="120">
        <v>500</v>
      </c>
      <c r="F58" s="250"/>
      <c r="G58" s="439">
        <f t="shared" si="6"/>
        <v>0.39472222222222231</v>
      </c>
      <c r="H58" s="439">
        <f t="shared" si="7"/>
        <v>284.20000000000005</v>
      </c>
      <c r="I58" s="217"/>
      <c r="J58" s="251" t="str">
        <f t="shared" si="9"/>
        <v>Instances</v>
      </c>
      <c r="K58" s="437">
        <f t="shared" si="8"/>
        <v>0</v>
      </c>
      <c r="O58" s="219"/>
      <c r="R58" s="200"/>
      <c r="T58" s="200"/>
    </row>
    <row r="59" spans="2:20" s="192" customFormat="1" ht="25" customHeight="1">
      <c r="B59" s="484" t="s">
        <v>45</v>
      </c>
      <c r="C59" s="99">
        <v>8</v>
      </c>
      <c r="D59" s="99">
        <v>32</v>
      </c>
      <c r="E59" s="101">
        <v>1000</v>
      </c>
      <c r="F59" s="246"/>
      <c r="G59" s="440">
        <f t="shared" si="6"/>
        <v>0.46277777777777784</v>
      </c>
      <c r="H59" s="440">
        <f t="shared" si="7"/>
        <v>333.20000000000005</v>
      </c>
      <c r="I59" s="217"/>
      <c r="J59" s="249" t="str">
        <f t="shared" si="9"/>
        <v>Instances</v>
      </c>
      <c r="K59" s="436">
        <f t="shared" si="8"/>
        <v>0</v>
      </c>
      <c r="O59" s="219"/>
      <c r="R59" s="200"/>
      <c r="T59" s="200"/>
    </row>
    <row r="60" spans="2:20" s="192" customFormat="1" ht="25" customHeight="1">
      <c r="B60" s="485" t="s">
        <v>46</v>
      </c>
      <c r="C60" s="100">
        <v>16</v>
      </c>
      <c r="D60" s="100">
        <v>64</v>
      </c>
      <c r="E60" s="120">
        <v>250</v>
      </c>
      <c r="F60" s="250"/>
      <c r="G60" s="439">
        <f t="shared" si="6"/>
        <v>0.6873611111111112</v>
      </c>
      <c r="H60" s="439">
        <f t="shared" si="7"/>
        <v>494.90000000000003</v>
      </c>
      <c r="I60" s="217"/>
      <c r="J60" s="251" t="str">
        <f t="shared" si="9"/>
        <v>Instances</v>
      </c>
      <c r="K60" s="437">
        <f t="shared" si="8"/>
        <v>0</v>
      </c>
      <c r="O60" s="219"/>
      <c r="R60" s="200"/>
      <c r="T60" s="200"/>
    </row>
    <row r="61" spans="2:20" s="192" customFormat="1" ht="25" customHeight="1">
      <c r="B61" s="484" t="s">
        <v>47</v>
      </c>
      <c r="C61" s="99">
        <v>16</v>
      </c>
      <c r="D61" s="99">
        <v>64</v>
      </c>
      <c r="E61" s="101">
        <v>500</v>
      </c>
      <c r="F61" s="246"/>
      <c r="G61" s="440">
        <f t="shared" si="6"/>
        <v>0.72138888888888897</v>
      </c>
      <c r="H61" s="440">
        <f t="shared" si="7"/>
        <v>519.40000000000009</v>
      </c>
      <c r="I61" s="217"/>
      <c r="J61" s="249" t="str">
        <f t="shared" si="9"/>
        <v>Instances</v>
      </c>
      <c r="K61" s="436">
        <f t="shared" si="8"/>
        <v>0</v>
      </c>
      <c r="O61" s="219"/>
      <c r="R61" s="200"/>
      <c r="T61" s="200"/>
    </row>
    <row r="62" spans="2:20" s="192" customFormat="1" ht="25" customHeight="1">
      <c r="B62" s="485" t="s">
        <v>48</v>
      </c>
      <c r="C62" s="100">
        <v>16</v>
      </c>
      <c r="D62" s="100">
        <v>64</v>
      </c>
      <c r="E62" s="120">
        <v>1000</v>
      </c>
      <c r="F62" s="250"/>
      <c r="G62" s="439">
        <f t="shared" ref="G62:G63" si="10">H62/720</f>
        <v>0.78944444444444462</v>
      </c>
      <c r="H62" s="439">
        <f t="shared" ref="H62:H63" si="11">C62*IAAS_vcpu_EUR+D62*IAAS_ram_EUR+E62*IAAS_nvme_EUR</f>
        <v>568.40000000000009</v>
      </c>
      <c r="I62" s="217"/>
      <c r="J62" s="251" t="str">
        <f t="shared" si="9"/>
        <v>Instances</v>
      </c>
      <c r="K62" s="437">
        <f t="shared" si="8"/>
        <v>0</v>
      </c>
      <c r="O62" s="219"/>
      <c r="R62" s="200"/>
      <c r="T62" s="200"/>
    </row>
    <row r="63" spans="2:20" s="192" customFormat="1" ht="25" customHeight="1">
      <c r="B63" s="484" t="s">
        <v>49</v>
      </c>
      <c r="C63" s="99">
        <v>32</v>
      </c>
      <c r="D63" s="99">
        <v>128</v>
      </c>
      <c r="E63" s="101">
        <v>250</v>
      </c>
      <c r="F63" s="246"/>
      <c r="G63" s="440">
        <f t="shared" si="10"/>
        <v>1.3406944444444446</v>
      </c>
      <c r="H63" s="440">
        <f t="shared" si="11"/>
        <v>965.30000000000007</v>
      </c>
      <c r="I63" s="217"/>
      <c r="J63" s="249" t="str">
        <f t="shared" si="9"/>
        <v>Instances</v>
      </c>
      <c r="K63" s="436">
        <f t="shared" si="8"/>
        <v>0</v>
      </c>
      <c r="O63" s="219"/>
      <c r="R63" s="200"/>
      <c r="T63" s="200"/>
    </row>
    <row r="64" spans="2:20" s="192" customFormat="1" ht="25" customHeight="1">
      <c r="B64" s="485" t="s">
        <v>50</v>
      </c>
      <c r="C64" s="100">
        <v>32</v>
      </c>
      <c r="D64" s="100">
        <v>128</v>
      </c>
      <c r="E64" s="120">
        <v>500</v>
      </c>
      <c r="F64" s="250"/>
      <c r="G64" s="439">
        <f t="shared" si="6"/>
        <v>1.3747222222222224</v>
      </c>
      <c r="H64" s="439">
        <f t="shared" si="7"/>
        <v>989.80000000000007</v>
      </c>
      <c r="I64" s="217"/>
      <c r="J64" s="251" t="str">
        <f t="shared" si="9"/>
        <v>Instances</v>
      </c>
      <c r="K64" s="437">
        <f t="shared" si="8"/>
        <v>0</v>
      </c>
      <c r="O64" s="219"/>
      <c r="R64" s="200"/>
      <c r="T64" s="200"/>
    </row>
    <row r="65" spans="2:23" s="192" customFormat="1" ht="25" customHeight="1">
      <c r="B65" s="484" t="s">
        <v>51</v>
      </c>
      <c r="C65" s="99">
        <v>32</v>
      </c>
      <c r="D65" s="99">
        <v>128</v>
      </c>
      <c r="E65" s="101">
        <v>1000</v>
      </c>
      <c r="F65" s="246"/>
      <c r="G65" s="440">
        <f t="shared" si="6"/>
        <v>1.4427777777777779</v>
      </c>
      <c r="H65" s="440">
        <f t="shared" si="7"/>
        <v>1038.8000000000002</v>
      </c>
      <c r="I65" s="217"/>
      <c r="J65" s="249" t="str">
        <f t="shared" si="9"/>
        <v>Instances</v>
      </c>
      <c r="K65" s="436">
        <f t="shared" si="8"/>
        <v>0</v>
      </c>
      <c r="O65" s="219"/>
      <c r="R65" s="200"/>
      <c r="T65" s="200"/>
    </row>
    <row r="66" spans="2:23" s="192" customFormat="1" ht="25" customHeight="1">
      <c r="B66" s="485" t="s">
        <v>397</v>
      </c>
      <c r="C66" s="100">
        <v>64</v>
      </c>
      <c r="D66" s="100">
        <v>256</v>
      </c>
      <c r="E66" s="120">
        <v>1000</v>
      </c>
      <c r="F66" s="250"/>
      <c r="G66" s="439">
        <f t="shared" ref="G66" si="12">H66/720</f>
        <v>2.7494444444444448</v>
      </c>
      <c r="H66" s="439">
        <f t="shared" ref="H66" si="13">C66*IAAS_vcpu_EUR+D66*IAAS_ram_EUR+E66*IAAS_nvme_EUR</f>
        <v>1979.6000000000001</v>
      </c>
      <c r="I66" s="217"/>
      <c r="J66" s="251" t="str">
        <f t="shared" si="9"/>
        <v>Instances</v>
      </c>
      <c r="K66" s="437">
        <f t="shared" si="8"/>
        <v>0</v>
      </c>
      <c r="O66" s="219"/>
      <c r="R66" s="200"/>
      <c r="T66" s="200"/>
    </row>
    <row r="67" spans="2:23" s="192" customFormat="1" ht="25" customHeight="1">
      <c r="B67" s="481" t="s">
        <v>30</v>
      </c>
      <c r="C67" s="162" cm="1">
        <f t="array" ref="C67">SUM(C43:C66*I43:I66)</f>
        <v>0</v>
      </c>
      <c r="D67" s="162" cm="1">
        <f t="array" ref="D67">SUM(D43:D66*I43:I66)</f>
        <v>0</v>
      </c>
      <c r="E67" s="612" cm="1">
        <f t="array" ref="E67">SUM(E43:E66*I43:I66)</f>
        <v>0</v>
      </c>
      <c r="F67" s="162"/>
      <c r="G67" s="162"/>
      <c r="H67" s="162"/>
      <c r="I67" s="162">
        <f>SUM(I43:I66)</f>
        <v>0</v>
      </c>
      <c r="J67" s="163"/>
      <c r="K67" s="438">
        <f>SUM(K43:K65)</f>
        <v>0</v>
      </c>
      <c r="O67" s="219"/>
      <c r="R67" s="200"/>
      <c r="T67" s="200"/>
    </row>
    <row r="68" spans="2:23" ht="25" customHeight="1">
      <c r="B68" s="486"/>
      <c r="C68" s="19"/>
      <c r="D68" s="19"/>
      <c r="E68" s="19"/>
      <c r="F68" s="252"/>
      <c r="G68" s="253"/>
      <c r="H68" s="254"/>
      <c r="I68" s="254"/>
      <c r="J68" s="252"/>
      <c r="K68" s="255"/>
      <c r="L68" s="202"/>
      <c r="O68" s="205"/>
      <c r="R68" s="200"/>
      <c r="S68" s="200"/>
      <c r="T68" s="228"/>
    </row>
    <row r="69" spans="2:23" ht="25" customHeight="1">
      <c r="B69" s="486"/>
      <c r="C69" s="19"/>
      <c r="D69" s="19"/>
      <c r="E69" s="19"/>
      <c r="F69" s="252"/>
      <c r="G69" s="253"/>
      <c r="H69" s="254"/>
      <c r="I69" s="254"/>
      <c r="J69" s="254"/>
      <c r="K69" s="252"/>
      <c r="L69" s="625"/>
      <c r="M69" s="202"/>
      <c r="O69" s="205"/>
      <c r="S69" s="200"/>
      <c r="T69" s="200"/>
      <c r="U69" s="228"/>
    </row>
    <row r="70" spans="2:23" ht="25" customHeight="1">
      <c r="B70" s="487" t="s">
        <v>52</v>
      </c>
      <c r="C70" s="427"/>
      <c r="D70" s="427"/>
      <c r="E70" s="427"/>
      <c r="F70" s="427"/>
      <c r="G70" s="427"/>
      <c r="H70" s="256"/>
      <c r="I70" s="257"/>
      <c r="J70" s="257"/>
      <c r="K70" s="257"/>
      <c r="L70" s="258"/>
      <c r="M70" s="626"/>
      <c r="O70" s="205"/>
      <c r="T70" s="200"/>
      <c r="U70" s="200"/>
      <c r="V70" s="228"/>
    </row>
    <row r="71" spans="2:23" s="261" customFormat="1" ht="25" customHeight="1">
      <c r="B71" s="478" t="s">
        <v>9</v>
      </c>
      <c r="C71" s="13" t="s">
        <v>10</v>
      </c>
      <c r="D71" s="13" t="s">
        <v>11</v>
      </c>
      <c r="E71" s="14" t="s">
        <v>32</v>
      </c>
      <c r="F71" s="206" t="s">
        <v>53</v>
      </c>
      <c r="G71" s="207" t="s">
        <v>13</v>
      </c>
      <c r="H71" s="207" t="s">
        <v>14</v>
      </c>
      <c r="I71" s="208" t="s">
        <v>15</v>
      </c>
      <c r="J71" s="208" t="s">
        <v>16</v>
      </c>
      <c r="K71" s="209"/>
      <c r="L71" s="207" t="s">
        <v>17</v>
      </c>
      <c r="M71" s="620" t="s">
        <v>18</v>
      </c>
      <c r="N71" s="259"/>
      <c r="O71" s="260"/>
      <c r="P71" s="259"/>
      <c r="Q71" s="259"/>
      <c r="U71" s="262"/>
      <c r="V71" s="262"/>
      <c r="W71" s="263"/>
    </row>
    <row r="72" spans="2:23" s="192" customFormat="1" ht="25" customHeight="1">
      <c r="B72" s="484" t="s">
        <v>54</v>
      </c>
      <c r="C72" s="99">
        <v>4</v>
      </c>
      <c r="D72" s="99">
        <v>16</v>
      </c>
      <c r="E72" s="104">
        <v>250</v>
      </c>
      <c r="F72" s="246">
        <v>1</v>
      </c>
      <c r="G72" s="440">
        <f t="shared" ref="G72:G75" si="14">H72/720</f>
        <v>0.94597222222222221</v>
      </c>
      <c r="H72" s="440">
        <f>C72*IAAS_vcpu_EUR+D72*IAAS_ram_EUR+E72*IAAS_nvme_EUR+F72*IAAS_gpu_EUR</f>
        <v>681.1</v>
      </c>
      <c r="I72" s="217"/>
      <c r="J72" s="217"/>
      <c r="K72" s="249" t="str">
        <f>J61</f>
        <v>Instances</v>
      </c>
      <c r="L72" s="436">
        <f>ROUNDUP(I72*H72,2)</f>
        <v>0</v>
      </c>
      <c r="M72" s="621">
        <f>J72*C72*SW_win.ser.201X_EUR</f>
        <v>0</v>
      </c>
      <c r="O72" s="219"/>
      <c r="T72" s="200"/>
      <c r="V72" s="200"/>
    </row>
    <row r="73" spans="2:23" s="192" customFormat="1" ht="25" customHeight="1">
      <c r="B73" s="483" t="s">
        <v>55</v>
      </c>
      <c r="C73" s="97">
        <v>8</v>
      </c>
      <c r="D73" s="97">
        <v>32</v>
      </c>
      <c r="E73" s="103">
        <v>500</v>
      </c>
      <c r="F73" s="242">
        <v>2</v>
      </c>
      <c r="G73" s="439">
        <f t="shared" si="14"/>
        <v>1.8919444444444444</v>
      </c>
      <c r="H73" s="439">
        <f>C73*IAAS_vcpu_EUR+D73*IAAS_ram_EUR+E73*IAAS_nvme_EUR+F73*IAAS_gpu_EUR</f>
        <v>1362.2</v>
      </c>
      <c r="I73" s="217"/>
      <c r="J73" s="217"/>
      <c r="K73" s="245" t="str">
        <f>J62</f>
        <v>Instances</v>
      </c>
      <c r="L73" s="437">
        <f>ROUNDUP(I73*H73,2)</f>
        <v>0</v>
      </c>
      <c r="M73" s="623">
        <f>J73*C73*SW_win.ser.201X_EUR</f>
        <v>0</v>
      </c>
      <c r="O73" s="219"/>
      <c r="T73" s="200"/>
      <c r="V73" s="200"/>
    </row>
    <row r="74" spans="2:23" s="192" customFormat="1" ht="25" customHeight="1">
      <c r="B74" s="484" t="s">
        <v>56</v>
      </c>
      <c r="C74" s="99">
        <v>16</v>
      </c>
      <c r="D74" s="99">
        <v>64</v>
      </c>
      <c r="E74" s="104">
        <v>1000</v>
      </c>
      <c r="F74" s="246">
        <v>4</v>
      </c>
      <c r="G74" s="440">
        <f t="shared" si="14"/>
        <v>3.7838888888888889</v>
      </c>
      <c r="H74" s="440">
        <f>C74*IAAS_vcpu_EUR+D74*IAAS_ram_EUR+E74*IAAS_nvme_EUR+F74*IAAS_gpu_EUR</f>
        <v>2724.4</v>
      </c>
      <c r="I74" s="217"/>
      <c r="J74" s="217"/>
      <c r="K74" s="249" t="str">
        <f>J63</f>
        <v>Instances</v>
      </c>
      <c r="L74" s="436">
        <f>ROUNDUP(I74*H74,2)</f>
        <v>0</v>
      </c>
      <c r="M74" s="621">
        <f>J74*C74*SW_win.ser.201X_EUR</f>
        <v>0</v>
      </c>
      <c r="O74" s="219"/>
      <c r="T74" s="200"/>
      <c r="V74" s="200"/>
    </row>
    <row r="75" spans="2:23" s="192" customFormat="1" ht="25" customHeight="1">
      <c r="B75" s="483" t="s">
        <v>57</v>
      </c>
      <c r="C75" s="97">
        <v>32</v>
      </c>
      <c r="D75" s="97">
        <v>128</v>
      </c>
      <c r="E75" s="103">
        <v>1000</v>
      </c>
      <c r="F75" s="242">
        <v>6</v>
      </c>
      <c r="G75" s="439">
        <f t="shared" si="14"/>
        <v>5.9344444444444449</v>
      </c>
      <c r="H75" s="439">
        <f>C75*IAAS_vcpu_EUR+D75*IAAS_ram_EUR+E75*IAAS_nvme_EUR+F75*IAAS_gpu_EUR</f>
        <v>4272.8</v>
      </c>
      <c r="I75" s="217"/>
      <c r="J75" s="217"/>
      <c r="K75" s="245" t="str">
        <f>J64</f>
        <v>Instances</v>
      </c>
      <c r="L75" s="437">
        <f>ROUNDUP(I75*H75,2)</f>
        <v>0</v>
      </c>
      <c r="M75" s="623">
        <f>J75*C75*SW_win.ser.201X_EUR</f>
        <v>0</v>
      </c>
      <c r="O75" s="219"/>
      <c r="T75" s="200"/>
      <c r="V75" s="200"/>
    </row>
    <row r="76" spans="2:23" s="268" customFormat="1" ht="25" customHeight="1">
      <c r="B76" s="481" t="s">
        <v>30</v>
      </c>
      <c r="C76" s="89"/>
      <c r="D76" s="89"/>
      <c r="E76" s="89"/>
      <c r="F76" s="225"/>
      <c r="G76" s="226"/>
      <c r="H76" s="227"/>
      <c r="I76" s="162">
        <f>SUM(I72:I75)</f>
        <v>0</v>
      </c>
      <c r="J76" s="162">
        <f>SUM(J72:J75)</f>
        <v>0</v>
      </c>
      <c r="K76" s="163"/>
      <c r="L76" s="438">
        <f>SUM(L72:L75)</f>
        <v>0</v>
      </c>
      <c r="M76" s="624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" customHeight="1">
      <c r="B77" s="482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627"/>
      <c r="O77" s="219"/>
      <c r="T77" s="200"/>
      <c r="V77" s="200"/>
    </row>
    <row r="78" spans="2:23" s="192" customFormat="1" ht="25" customHeight="1">
      <c r="B78" s="482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627"/>
      <c r="O78" s="219"/>
      <c r="T78" s="200"/>
      <c r="V78" s="200"/>
    </row>
    <row r="79" spans="2:23" s="237" customFormat="1" ht="25" customHeight="1">
      <c r="B79" s="447" t="s">
        <v>58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627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25" customHeight="1">
      <c r="B80" s="478" t="s">
        <v>9</v>
      </c>
      <c r="C80" s="13" t="s">
        <v>10</v>
      </c>
      <c r="D80" s="13" t="s">
        <v>11</v>
      </c>
      <c r="E80" s="14" t="s">
        <v>32</v>
      </c>
      <c r="F80" s="206"/>
      <c r="G80" s="207" t="s">
        <v>13</v>
      </c>
      <c r="H80" s="207" t="s">
        <v>14</v>
      </c>
      <c r="I80" s="208" t="s">
        <v>15</v>
      </c>
      <c r="J80" s="208" t="s">
        <v>16</v>
      </c>
      <c r="K80" s="209"/>
      <c r="L80" s="207" t="s">
        <v>17</v>
      </c>
      <c r="M80" s="620" t="s">
        <v>18</v>
      </c>
      <c r="N80" s="259"/>
      <c r="O80" s="260"/>
      <c r="P80" s="259"/>
      <c r="Q80" s="259"/>
      <c r="U80" s="262"/>
      <c r="V80" s="262"/>
      <c r="W80" s="263"/>
    </row>
    <row r="81" spans="2:23" s="192" customFormat="1" ht="25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440">
        <f t="shared" ref="G81:G83" si="15">H81/720</f>
        <v>0.93100000000000005</v>
      </c>
      <c r="H81" s="440">
        <f>INSTANCE_p1.2xlarge.16d_EUR</f>
        <v>670.32</v>
      </c>
      <c r="I81" s="217"/>
      <c r="J81" s="217"/>
      <c r="K81" s="214" t="s">
        <v>60</v>
      </c>
      <c r="L81" s="436">
        <f>ROUNDUP(I81*H81,2)</f>
        <v>0</v>
      </c>
      <c r="M81" s="621">
        <f>J81*C81*SW_win.ser.201X_EUR</f>
        <v>0</v>
      </c>
      <c r="N81" s="201"/>
      <c r="O81" s="219"/>
    </row>
    <row r="82" spans="2:23" s="192" customFormat="1" ht="25" customHeight="1">
      <c r="B82" s="488" t="s">
        <v>61</v>
      </c>
      <c r="C82" s="92">
        <v>32</v>
      </c>
      <c r="D82" s="92">
        <v>256</v>
      </c>
      <c r="E82" s="94">
        <v>3800</v>
      </c>
      <c r="F82" s="276"/>
      <c r="G82" s="439">
        <f t="shared" si="15"/>
        <v>1.8620000000000001</v>
      </c>
      <c r="H82" s="439">
        <f>INSTANCE_p1.4xlarge.16d_EUR</f>
        <v>1340.64</v>
      </c>
      <c r="I82" s="217"/>
      <c r="J82" s="217"/>
      <c r="K82" s="220" t="str">
        <f t="shared" ref="K82" si="16">K81</f>
        <v>Instanser</v>
      </c>
      <c r="L82" s="437">
        <f>ROUNDUP(I82*H82,2)</f>
        <v>0</v>
      </c>
      <c r="M82" s="623">
        <f>J82*C82*SW_win.ser.201X_EUR</f>
        <v>0</v>
      </c>
      <c r="N82" s="201"/>
      <c r="O82" s="219"/>
      <c r="W82" s="200"/>
    </row>
    <row r="83" spans="2:23" s="265" customFormat="1" ht="25" customHeight="1">
      <c r="B83" s="489" t="s">
        <v>62</v>
      </c>
      <c r="C83" s="93">
        <v>64</v>
      </c>
      <c r="D83" s="93">
        <v>512</v>
      </c>
      <c r="E83" s="95">
        <v>7600</v>
      </c>
      <c r="F83" s="277"/>
      <c r="G83" s="441">
        <f t="shared" si="15"/>
        <v>3.7240000000000002</v>
      </c>
      <c r="H83" s="442">
        <f>INSTANCE_p1.8xlarge.32d_EUR</f>
        <v>2681.28</v>
      </c>
      <c r="I83" s="217"/>
      <c r="J83" s="217"/>
      <c r="K83" s="214" t="s">
        <v>60</v>
      </c>
      <c r="L83" s="436">
        <f>ROUNDUP(I83*H83,2)</f>
        <v>0</v>
      </c>
      <c r="M83" s="621">
        <f>J83*C83*SW_win.ser.201X_EUR</f>
        <v>0</v>
      </c>
      <c r="N83" s="280"/>
      <c r="O83" s="281"/>
    </row>
    <row r="84" spans="2:23" ht="25" customHeight="1">
      <c r="B84" s="481" t="s">
        <v>30</v>
      </c>
      <c r="C84" s="89"/>
      <c r="D84" s="89"/>
      <c r="E84" s="89"/>
      <c r="F84" s="225"/>
      <c r="G84" s="226"/>
      <c r="H84" s="227"/>
      <c r="I84" s="162">
        <f>SUM(I81:I83)</f>
        <v>0</v>
      </c>
      <c r="J84" s="162">
        <f>SUM(J81:J83)</f>
        <v>0</v>
      </c>
      <c r="K84" s="163"/>
      <c r="L84" s="438">
        <f>SUM(L81:L83)</f>
        <v>0</v>
      </c>
      <c r="M84" s="624">
        <f>SUM(M81:M83)</f>
        <v>0</v>
      </c>
      <c r="O84" s="205"/>
    </row>
    <row r="85" spans="2:23" ht="25" customHeight="1">
      <c r="B85" s="490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622"/>
      <c r="O85" s="205"/>
    </row>
    <row r="86" spans="2:23" s="192" customFormat="1" ht="25" customHeight="1">
      <c r="B86" s="491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627"/>
      <c r="O86" s="219"/>
      <c r="T86" s="200"/>
      <c r="V86" s="200"/>
    </row>
    <row r="87" spans="2:23" ht="25" customHeight="1">
      <c r="B87" s="447" t="s">
        <v>63</v>
      </c>
      <c r="C87" s="24"/>
      <c r="D87" s="24"/>
      <c r="E87" s="24"/>
      <c r="F87" s="272"/>
      <c r="G87" s="272"/>
      <c r="H87" s="201"/>
      <c r="I87" s="201"/>
      <c r="J87" s="201"/>
      <c r="K87" s="201"/>
      <c r="L87" s="271"/>
      <c r="M87" s="627"/>
      <c r="O87" s="205"/>
      <c r="P87" s="192"/>
      <c r="Q87" s="192"/>
      <c r="R87" s="192"/>
      <c r="S87" s="192"/>
      <c r="T87" s="200"/>
      <c r="U87" s="192"/>
      <c r="V87" s="228"/>
    </row>
    <row r="88" spans="2:23" s="287" customFormat="1" ht="25" customHeight="1">
      <c r="B88" s="478" t="s">
        <v>9</v>
      </c>
      <c r="C88" s="26" t="s">
        <v>64</v>
      </c>
      <c r="D88" s="26"/>
      <c r="E88" s="139" t="s">
        <v>13</v>
      </c>
      <c r="F88" s="1149" t="s">
        <v>65</v>
      </c>
      <c r="G88" s="1149"/>
      <c r="H88" s="284"/>
      <c r="I88" s="285" t="s">
        <v>66</v>
      </c>
      <c r="J88" s="284"/>
      <c r="K88" s="628"/>
      <c r="L88" s="213"/>
      <c r="O88" s="286"/>
      <c r="P88" s="213"/>
      <c r="T88" s="288"/>
      <c r="U88" s="288"/>
      <c r="V88" s="289"/>
    </row>
    <row r="89" spans="2:23" s="192" customFormat="1" ht="25" customHeight="1">
      <c r="B89" s="141" t="s">
        <v>67</v>
      </c>
      <c r="C89" s="41" t="s">
        <v>68</v>
      </c>
      <c r="D89" s="80"/>
      <c r="E89" s="443">
        <f>F89/720</f>
        <v>1.6333333333333334E-4</v>
      </c>
      <c r="F89" s="1123">
        <f>VOLUME_large_EUR</f>
        <v>0.1176</v>
      </c>
      <c r="G89" s="1123"/>
      <c r="H89" s="675"/>
      <c r="I89" s="290"/>
      <c r="J89" s="291" t="s">
        <v>69</v>
      </c>
      <c r="K89" s="629">
        <f>ROUNDUP(I89*F89,2)</f>
        <v>0</v>
      </c>
      <c r="L89" s="201"/>
      <c r="O89" s="219"/>
    </row>
    <row r="90" spans="2:23" s="192" customFormat="1" ht="25" customHeight="1">
      <c r="B90" s="488" t="s">
        <v>70</v>
      </c>
      <c r="C90" s="43" t="s">
        <v>71</v>
      </c>
      <c r="D90" s="81"/>
      <c r="E90" s="444">
        <f>F90/720</f>
        <v>4.8999999999999998E-4</v>
      </c>
      <c r="F90" s="1145">
        <f>VOLUME_fast_EUR</f>
        <v>0.3528</v>
      </c>
      <c r="G90" s="1145"/>
      <c r="H90" s="676"/>
      <c r="I90" s="294"/>
      <c r="J90" s="295" t="s">
        <v>69</v>
      </c>
      <c r="K90" s="630">
        <f>ROUNDUP(I90*F90,2)</f>
        <v>0</v>
      </c>
      <c r="L90" s="201"/>
      <c r="O90" s="219"/>
      <c r="V90" s="200"/>
    </row>
    <row r="91" spans="2:23" ht="25" customHeight="1">
      <c r="B91" s="481" t="s">
        <v>30</v>
      </c>
      <c r="C91" s="89"/>
      <c r="D91" s="89"/>
      <c r="E91" s="89"/>
      <c r="F91" s="226"/>
      <c r="G91" s="227"/>
      <c r="H91" s="227"/>
      <c r="I91" s="299" t="str">
        <f>SUM(I89:I90)&amp;" GB"</f>
        <v>0 GB</v>
      </c>
      <c r="J91" s="300"/>
      <c r="K91" s="624">
        <f>SUM(K89:K90)</f>
        <v>0</v>
      </c>
      <c r="L91" s="202"/>
      <c r="O91" s="205"/>
    </row>
    <row r="92" spans="2:23" ht="25" customHeight="1">
      <c r="B92" s="490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631"/>
      <c r="O92" s="205"/>
    </row>
    <row r="93" spans="2:23" ht="2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631"/>
      <c r="O93" s="205"/>
    </row>
    <row r="94" spans="2:23" s="187" customFormat="1" ht="2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631"/>
      <c r="O94" s="191"/>
    </row>
    <row r="95" spans="2:23" s="187" customFormat="1" ht="25" customHeight="1">
      <c r="B95" s="1140" t="s">
        <v>72</v>
      </c>
      <c r="C95" s="1140"/>
      <c r="D95" s="1140"/>
      <c r="E95" s="1140"/>
      <c r="F95" s="1140"/>
      <c r="G95" s="1140"/>
      <c r="H95" s="188"/>
      <c r="J95" s="189"/>
      <c r="K95" s="189"/>
      <c r="M95" s="618"/>
      <c r="O95" s="191"/>
    </row>
    <row r="96" spans="2:23" s="187" customFormat="1" ht="25" customHeight="1">
      <c r="B96" s="1140"/>
      <c r="C96" s="1140"/>
      <c r="D96" s="1140"/>
      <c r="E96" s="1140"/>
      <c r="F96" s="1140"/>
      <c r="G96" s="1140"/>
      <c r="H96" s="188"/>
      <c r="J96" s="189"/>
      <c r="K96" s="189"/>
      <c r="M96" s="618"/>
      <c r="O96" s="191"/>
    </row>
    <row r="97" spans="2:22" s="187" customFormat="1" ht="25" customHeight="1">
      <c r="B97" s="1140"/>
      <c r="C97" s="1140"/>
      <c r="D97" s="1140"/>
      <c r="E97" s="1140"/>
      <c r="F97" s="1140"/>
      <c r="G97" s="1140"/>
      <c r="H97" s="188"/>
      <c r="J97" s="189"/>
      <c r="K97" s="189"/>
      <c r="M97" s="618"/>
      <c r="O97" s="191"/>
    </row>
    <row r="98" spans="2:22" s="187" customFormat="1" ht="25" customHeight="1">
      <c r="B98" s="1146" t="s">
        <v>73</v>
      </c>
      <c r="C98" s="1146"/>
      <c r="D98" s="1146"/>
      <c r="E98" s="1146"/>
      <c r="F98" s="1146"/>
      <c r="H98" s="188"/>
      <c r="J98" s="189"/>
      <c r="K98" s="189"/>
      <c r="M98" s="618"/>
      <c r="N98" s="194"/>
      <c r="O98" s="199"/>
    </row>
    <row r="99" spans="2:22" s="311" customFormat="1" ht="25" customHeight="1">
      <c r="B99" s="1147" t="s">
        <v>74</v>
      </c>
      <c r="C99" s="1147"/>
      <c r="D99" s="1147"/>
      <c r="E99" s="1147"/>
      <c r="F99" s="1147"/>
      <c r="G99" s="305"/>
      <c r="H99" s="306"/>
      <c r="I99" s="305"/>
      <c r="J99" s="307"/>
      <c r="K99" s="308"/>
      <c r="L99" s="305"/>
      <c r="M99" s="632"/>
      <c r="N99" s="305"/>
      <c r="O99" s="310"/>
    </row>
    <row r="100" spans="2:22" s="187" customFormat="1" ht="25" customHeight="1">
      <c r="B100" s="8" t="s">
        <v>7</v>
      </c>
      <c r="C100" s="76"/>
      <c r="D100" s="76"/>
      <c r="E100" s="76"/>
      <c r="F100" s="576"/>
      <c r="G100" s="194"/>
      <c r="H100" s="195"/>
      <c r="I100" s="194"/>
      <c r="J100" s="196"/>
      <c r="K100" s="197"/>
      <c r="L100" s="197"/>
      <c r="M100" s="619"/>
      <c r="N100" s="198"/>
      <c r="O100" s="219"/>
      <c r="Q100" s="192"/>
      <c r="R100" s="192"/>
    </row>
    <row r="101" spans="2:22" s="192" customFormat="1" ht="25" customHeight="1">
      <c r="B101" s="491"/>
      <c r="C101" s="22"/>
      <c r="D101" s="22"/>
      <c r="E101" s="22"/>
      <c r="F101" s="269"/>
      <c r="G101" s="269"/>
      <c r="H101" s="201"/>
      <c r="I101" s="201"/>
      <c r="J101" s="201"/>
      <c r="K101" s="201"/>
      <c r="L101" s="271"/>
      <c r="M101" s="627"/>
      <c r="O101" s="219"/>
      <c r="T101" s="200"/>
      <c r="V101" s="200"/>
    </row>
    <row r="102" spans="2:22" s="660" customFormat="1" ht="25" customHeight="1">
      <c r="B102" s="478" t="s">
        <v>9</v>
      </c>
      <c r="C102" s="12" t="s">
        <v>75</v>
      </c>
      <c r="D102" s="1149" t="s">
        <v>76</v>
      </c>
      <c r="E102" s="1149"/>
      <c r="F102" s="1149"/>
      <c r="G102" s="1149"/>
      <c r="H102" s="285" t="s">
        <v>75</v>
      </c>
      <c r="I102" s="284"/>
      <c r="J102" s="1149"/>
      <c r="K102" s="1149"/>
      <c r="L102" s="657"/>
      <c r="M102" s="683" t="s">
        <v>83</v>
      </c>
      <c r="N102" s="198"/>
      <c r="O102" s="219"/>
      <c r="Q102" s="192"/>
      <c r="R102" s="192"/>
    </row>
    <row r="103" spans="2:22" s="268" customFormat="1" ht="25" customHeight="1">
      <c r="B103" s="506" t="s">
        <v>77</v>
      </c>
      <c r="C103" s="84"/>
      <c r="D103" s="680"/>
      <c r="E103" s="652" cm="1">
        <f t="array" ref="E103">_xlfn.IFS(H103&lt;50,D104,H103&lt;100,D105,H103&lt;500,D106,H103&lt;1000,D107,H103&gt;999,D108)</f>
        <v>34.300000000000004</v>
      </c>
      <c r="F103" s="653"/>
      <c r="G103" s="653"/>
      <c r="H103" s="318">
        <v>0</v>
      </c>
      <c r="I103" s="514" t="s">
        <v>84</v>
      </c>
      <c r="J103" s="320"/>
      <c r="K103" s="320"/>
      <c r="L103" s="320"/>
      <c r="M103" s="633" cm="1">
        <f t="array" ref="M103">_xlfn.IFS(H103&lt;1000,ROUNDUP(H103*E103,2),H103&gt;999,E103)</f>
        <v>0</v>
      </c>
      <c r="N103" s="317"/>
      <c r="O103" s="281"/>
      <c r="Q103" s="265"/>
      <c r="R103" s="265"/>
    </row>
    <row r="104" spans="2:22" s="660" customFormat="1" ht="25" customHeight="1">
      <c r="B104" s="665" t="s">
        <v>77</v>
      </c>
      <c r="C104" s="666" t="s">
        <v>430</v>
      </c>
      <c r="D104" s="1143">
        <f>S3_storage.50_EUR</f>
        <v>34.300000000000004</v>
      </c>
      <c r="E104" s="1143"/>
      <c r="F104" s="1144"/>
      <c r="G104" s="1144"/>
      <c r="H104" s="1144"/>
      <c r="I104" s="1144"/>
      <c r="J104" s="1144"/>
      <c r="K104" s="1144"/>
      <c r="L104" s="667"/>
      <c r="M104" s="684"/>
      <c r="N104" s="198"/>
      <c r="O104" s="219"/>
      <c r="Q104" s="192"/>
      <c r="R104" s="192"/>
    </row>
    <row r="105" spans="2:22" s="660" customFormat="1" ht="25" customHeight="1">
      <c r="B105" s="677" t="s">
        <v>77</v>
      </c>
      <c r="C105" s="678" t="s">
        <v>431</v>
      </c>
      <c r="D105" s="1152">
        <f>S3_storage.100_EUR</f>
        <v>26.46</v>
      </c>
      <c r="E105" s="1152"/>
      <c r="F105" s="1095"/>
      <c r="G105" s="1095"/>
      <c r="H105" s="1095"/>
      <c r="I105" s="1095"/>
      <c r="J105" s="1095"/>
      <c r="K105" s="1095"/>
      <c r="L105" s="679"/>
      <c r="M105" s="685"/>
      <c r="N105" s="198"/>
      <c r="O105" s="219"/>
      <c r="Q105" s="192"/>
      <c r="R105" s="192"/>
    </row>
    <row r="106" spans="2:22" s="660" customFormat="1" ht="25" customHeight="1">
      <c r="B106" s="665" t="s">
        <v>77</v>
      </c>
      <c r="C106" s="666" t="s">
        <v>432</v>
      </c>
      <c r="D106" s="1153">
        <f>S3_storage.500_EUR</f>
        <v>19.600000000000001</v>
      </c>
      <c r="E106" s="1153"/>
      <c r="F106" s="1104"/>
      <c r="G106" s="1104"/>
      <c r="H106" s="1104"/>
      <c r="I106" s="1104"/>
      <c r="J106" s="1104"/>
      <c r="K106" s="1104"/>
      <c r="L106" s="668"/>
      <c r="M106" s="686"/>
      <c r="N106" s="198"/>
      <c r="O106" s="219"/>
      <c r="Q106" s="192"/>
      <c r="R106" s="192"/>
    </row>
    <row r="107" spans="2:22" s="660" customFormat="1" ht="25" customHeight="1">
      <c r="B107" s="677" t="s">
        <v>77</v>
      </c>
      <c r="C107" s="678" t="s">
        <v>433</v>
      </c>
      <c r="D107" s="1152">
        <f>S3_storage.1000_EUR</f>
        <v>18.13</v>
      </c>
      <c r="E107" s="1152"/>
      <c r="F107" s="1095"/>
      <c r="G107" s="1095"/>
      <c r="H107" s="1095"/>
      <c r="I107" s="1095"/>
      <c r="J107" s="1095"/>
      <c r="K107" s="1095"/>
      <c r="L107" s="679"/>
      <c r="M107" s="685"/>
      <c r="N107" s="198"/>
      <c r="O107" s="219"/>
      <c r="Q107" s="192"/>
      <c r="R107" s="192"/>
    </row>
    <row r="108" spans="2:22" s="660" customFormat="1" ht="25" customHeight="1">
      <c r="B108" s="669" t="s">
        <v>77</v>
      </c>
      <c r="C108" s="670" t="s">
        <v>434</v>
      </c>
      <c r="D108" s="1096" t="str">
        <f>S3_storage.quote_EUR</f>
        <v>Request a quote</v>
      </c>
      <c r="E108" s="1096"/>
      <c r="F108" s="1105"/>
      <c r="G108" s="1105"/>
      <c r="H108" s="1105"/>
      <c r="I108" s="1105"/>
      <c r="J108" s="1105"/>
      <c r="K108" s="1105"/>
      <c r="L108" s="671"/>
      <c r="M108" s="687"/>
      <c r="N108" s="198"/>
      <c r="O108" s="219"/>
      <c r="Q108" s="192"/>
      <c r="R108" s="192"/>
    </row>
    <row r="109" spans="2:22" ht="25" customHeight="1">
      <c r="B109" s="20" t="s">
        <v>402</v>
      </c>
      <c r="C109" s="21"/>
      <c r="D109" s="681"/>
      <c r="E109" s="681"/>
      <c r="F109" s="230"/>
      <c r="G109" s="230"/>
      <c r="H109" s="231"/>
      <c r="I109" s="231"/>
      <c r="J109" s="231"/>
      <c r="K109" s="322"/>
      <c r="L109" s="322"/>
      <c r="M109" s="624">
        <f>M103</f>
        <v>0</v>
      </c>
      <c r="N109" s="317"/>
      <c r="O109" s="219"/>
      <c r="Q109" s="192"/>
      <c r="R109" s="192"/>
    </row>
    <row r="110" spans="2:22" ht="25" customHeight="1">
      <c r="B110" s="486"/>
      <c r="C110" s="19"/>
      <c r="D110" s="682"/>
      <c r="E110" s="682"/>
      <c r="F110" s="252"/>
      <c r="G110" s="253"/>
      <c r="H110" s="254"/>
      <c r="I110" s="254"/>
      <c r="J110" s="252"/>
      <c r="K110" s="255"/>
      <c r="L110" s="202"/>
      <c r="M110" s="688"/>
      <c r="O110" s="205"/>
      <c r="R110" s="200"/>
      <c r="S110" s="200"/>
      <c r="T110" s="228"/>
    </row>
    <row r="111" spans="2:22" s="660" customFormat="1" ht="25" customHeight="1">
      <c r="B111" s="478" t="s">
        <v>9</v>
      </c>
      <c r="C111" s="12" t="s">
        <v>75</v>
      </c>
      <c r="D111" s="1151" t="s">
        <v>76</v>
      </c>
      <c r="E111" s="1151"/>
      <c r="F111" s="1149"/>
      <c r="G111" s="1149"/>
      <c r="H111" s="285" t="s">
        <v>75</v>
      </c>
      <c r="I111" s="285"/>
      <c r="J111" s="1149"/>
      <c r="K111" s="1149"/>
      <c r="L111" s="657"/>
      <c r="M111" s="683"/>
      <c r="N111" s="198"/>
      <c r="O111" s="219"/>
      <c r="Q111" s="192"/>
      <c r="R111" s="192"/>
    </row>
    <row r="112" spans="2:22" s="268" customFormat="1" ht="25" customHeight="1">
      <c r="B112" s="506" t="s">
        <v>424</v>
      </c>
      <c r="C112" s="84"/>
      <c r="D112" s="680"/>
      <c r="E112" s="652" cm="1">
        <f t="array" ref="E112">_xlfn.IFS(H112&lt;50,D113,H112&lt;100,D114,H112&lt;500,D115,H112&lt;1000,D116,H112&gt;999,D117)</f>
        <v>34.300000000000004</v>
      </c>
      <c r="F112" s="653"/>
      <c r="G112" s="653"/>
      <c r="H112" s="318">
        <v>0</v>
      </c>
      <c r="I112" s="514" t="s">
        <v>84</v>
      </c>
      <c r="J112" s="320"/>
      <c r="K112" s="320"/>
      <c r="L112" s="320"/>
      <c r="M112" s="633" cm="1">
        <f t="array" ref="M112">_xlfn.IFS(H112&lt;1000,ROUNDUP(H112*E112,2),H112&gt;999,E112)</f>
        <v>0</v>
      </c>
      <c r="N112" s="317"/>
      <c r="O112" s="281"/>
      <c r="Q112" s="265"/>
      <c r="R112" s="265"/>
    </row>
    <row r="113" spans="1:28" s="660" customFormat="1" ht="25" customHeight="1">
      <c r="B113" s="665" t="s">
        <v>424</v>
      </c>
      <c r="C113" s="666" t="s">
        <v>430</v>
      </c>
      <c r="D113" s="1143">
        <f>S3_archive.50_EUR</f>
        <v>34.300000000000004</v>
      </c>
      <c r="E113" s="1143"/>
      <c r="F113" s="1144"/>
      <c r="G113" s="1144"/>
      <c r="H113" s="1144"/>
      <c r="I113" s="1144"/>
      <c r="J113" s="1144"/>
      <c r="K113" s="1144"/>
      <c r="L113" s="667"/>
      <c r="M113" s="684"/>
      <c r="N113" s="198"/>
      <c r="O113" s="219"/>
      <c r="Q113" s="192"/>
      <c r="R113" s="192"/>
    </row>
    <row r="114" spans="1:28" s="660" customFormat="1" ht="25" customHeight="1">
      <c r="B114" s="677" t="s">
        <v>424</v>
      </c>
      <c r="C114" s="678" t="s">
        <v>431</v>
      </c>
      <c r="D114" s="1152">
        <f>S3_archive.100_EUR</f>
        <v>26.46</v>
      </c>
      <c r="E114" s="1152"/>
      <c r="F114" s="1095"/>
      <c r="G114" s="1095"/>
      <c r="H114" s="1095"/>
      <c r="I114" s="1095"/>
      <c r="J114" s="1095"/>
      <c r="K114" s="1095"/>
      <c r="L114" s="679"/>
      <c r="M114" s="685"/>
      <c r="N114" s="198"/>
      <c r="O114" s="219"/>
      <c r="Q114" s="192"/>
      <c r="R114" s="192"/>
    </row>
    <row r="115" spans="1:28" s="660" customFormat="1" ht="25" customHeight="1">
      <c r="B115" s="665" t="s">
        <v>424</v>
      </c>
      <c r="C115" s="666" t="s">
        <v>432</v>
      </c>
      <c r="D115" s="1153">
        <f>S3_archive.500_EUR</f>
        <v>19.600000000000001</v>
      </c>
      <c r="E115" s="1153"/>
      <c r="F115" s="1104"/>
      <c r="G115" s="1104"/>
      <c r="H115" s="1104"/>
      <c r="I115" s="1104"/>
      <c r="J115" s="1104"/>
      <c r="K115" s="1104"/>
      <c r="L115" s="668"/>
      <c r="M115" s="686"/>
      <c r="N115" s="198"/>
      <c r="O115" s="219"/>
      <c r="Q115" s="192"/>
      <c r="R115" s="192"/>
    </row>
    <row r="116" spans="1:28" s="660" customFormat="1" ht="25" customHeight="1">
      <c r="B116" s="677" t="s">
        <v>424</v>
      </c>
      <c r="C116" s="678" t="s">
        <v>433</v>
      </c>
      <c r="D116" s="1152">
        <f>S3_archive.1000_EUR</f>
        <v>18.13</v>
      </c>
      <c r="E116" s="1152"/>
      <c r="F116" s="1095"/>
      <c r="G116" s="1095"/>
      <c r="H116" s="1095"/>
      <c r="I116" s="1095"/>
      <c r="J116" s="1095"/>
      <c r="K116" s="1095"/>
      <c r="L116" s="679"/>
      <c r="M116" s="685"/>
      <c r="N116" s="198"/>
      <c r="O116" s="219"/>
      <c r="Q116" s="192"/>
      <c r="R116" s="192"/>
    </row>
    <row r="117" spans="1:28" s="660" customFormat="1" ht="25" customHeight="1">
      <c r="B117" s="669" t="s">
        <v>424</v>
      </c>
      <c r="C117" s="670" t="s">
        <v>434</v>
      </c>
      <c r="D117" s="1096" t="str">
        <f>S3_archive.quote_EUR</f>
        <v>Request a quote</v>
      </c>
      <c r="E117" s="1096"/>
      <c r="F117" s="1105"/>
      <c r="G117" s="1105"/>
      <c r="H117" s="1105"/>
      <c r="I117" s="1105"/>
      <c r="J117" s="1105"/>
      <c r="K117" s="1105"/>
      <c r="L117" s="671"/>
      <c r="M117" s="687"/>
      <c r="N117" s="198"/>
      <c r="O117" s="219"/>
      <c r="Q117" s="192"/>
      <c r="R117" s="192"/>
    </row>
    <row r="118" spans="1:28" s="660" customFormat="1" ht="25" customHeight="1">
      <c r="B118" s="20" t="s">
        <v>402</v>
      </c>
      <c r="C118" s="21"/>
      <c r="D118" s="21"/>
      <c r="E118" s="21"/>
      <c r="F118" s="230"/>
      <c r="G118" s="230"/>
      <c r="H118" s="231"/>
      <c r="I118" s="231"/>
      <c r="J118" s="231"/>
      <c r="K118" s="322"/>
      <c r="L118" s="322"/>
      <c r="M118" s="689">
        <f>M112</f>
        <v>0</v>
      </c>
      <c r="N118" s="198"/>
      <c r="O118" s="219"/>
      <c r="Q118" s="192"/>
      <c r="R118" s="192"/>
    </row>
    <row r="119" spans="1:28" s="261" customFormat="1" ht="25" customHeight="1">
      <c r="B119" s="505"/>
      <c r="C119" s="140"/>
      <c r="D119" s="140"/>
      <c r="E119" s="140"/>
      <c r="F119" s="658"/>
      <c r="G119" s="661"/>
      <c r="H119" s="195"/>
      <c r="I119" s="661"/>
      <c r="J119" s="196"/>
      <c r="K119" s="197"/>
      <c r="L119" s="197"/>
      <c r="M119" s="619"/>
      <c r="N119" s="198"/>
      <c r="O119" s="316"/>
      <c r="Q119" s="287"/>
      <c r="R119" s="287"/>
      <c r="S119" s="287"/>
      <c r="T119" s="287"/>
      <c r="U119" s="287"/>
      <c r="V119" s="287"/>
      <c r="W119" s="287"/>
    </row>
    <row r="120" spans="1:28" ht="25" customHeight="1">
      <c r="B120" s="28"/>
      <c r="C120" s="28"/>
      <c r="D120" s="28"/>
      <c r="E120" s="28"/>
      <c r="F120" s="324"/>
      <c r="G120" s="325"/>
      <c r="H120" s="301"/>
      <c r="I120" s="301"/>
      <c r="J120" s="301"/>
      <c r="K120" s="326"/>
      <c r="L120" s="326"/>
      <c r="M120" s="631"/>
      <c r="N120" s="659"/>
      <c r="O120" s="219"/>
      <c r="Q120" s="192"/>
      <c r="R120" s="192"/>
      <c r="U120" s="660"/>
    </row>
    <row r="121" spans="1:28" s="660" customFormat="1" ht="25" customHeight="1">
      <c r="B121" s="28"/>
      <c r="C121" s="28"/>
      <c r="D121" s="28"/>
      <c r="E121" s="28"/>
      <c r="F121" s="324"/>
      <c r="G121" s="325"/>
      <c r="H121" s="301"/>
      <c r="I121" s="301"/>
      <c r="J121" s="301"/>
      <c r="K121" s="326"/>
      <c r="L121" s="326"/>
      <c r="M121" s="631"/>
      <c r="N121" s="659"/>
      <c r="O121" s="191"/>
    </row>
    <row r="122" spans="1:28" s="660" customFormat="1" ht="25" customHeight="1">
      <c r="B122" s="1140" t="s">
        <v>86</v>
      </c>
      <c r="C122" s="1140"/>
      <c r="D122" s="1140"/>
      <c r="E122" s="1140"/>
      <c r="F122" s="1140"/>
      <c r="G122" s="1140"/>
      <c r="H122" s="188"/>
      <c r="J122" s="189"/>
      <c r="K122" s="189"/>
      <c r="L122" s="189"/>
      <c r="M122" s="618"/>
      <c r="N122" s="190"/>
      <c r="O122" s="191"/>
    </row>
    <row r="123" spans="1:28" s="660" customFormat="1" ht="25" customHeight="1">
      <c r="B123" s="1140"/>
      <c r="C123" s="1140"/>
      <c r="D123" s="1140"/>
      <c r="E123" s="1140"/>
      <c r="F123" s="1140"/>
      <c r="G123" s="1140"/>
      <c r="H123" s="188"/>
      <c r="J123" s="189"/>
      <c r="K123" s="189"/>
      <c r="L123" s="189"/>
      <c r="M123" s="618"/>
      <c r="N123" s="190"/>
      <c r="O123" s="191"/>
    </row>
    <row r="124" spans="1:28" s="660" customFormat="1" ht="25" customHeight="1">
      <c r="B124" s="1140"/>
      <c r="C124" s="1140"/>
      <c r="D124" s="1140"/>
      <c r="E124" s="1140"/>
      <c r="F124" s="1140"/>
      <c r="G124" s="1140"/>
      <c r="H124" s="188"/>
      <c r="J124" s="189"/>
      <c r="K124" s="189"/>
      <c r="L124" s="189"/>
      <c r="M124" s="618"/>
      <c r="N124" s="190"/>
      <c r="O124" s="191"/>
    </row>
    <row r="125" spans="1:28" s="660" customFormat="1" ht="25" customHeight="1">
      <c r="B125" s="1155" t="s">
        <v>87</v>
      </c>
      <c r="C125" s="1155"/>
      <c r="D125" s="1155"/>
      <c r="E125" s="1155"/>
      <c r="F125" s="1155"/>
      <c r="H125" s="188"/>
      <c r="J125" s="189"/>
      <c r="K125" s="189"/>
      <c r="L125" s="189"/>
      <c r="M125" s="618"/>
      <c r="N125" s="190"/>
      <c r="O125" s="199"/>
    </row>
    <row r="126" spans="1:28" s="187" customFormat="1" ht="25" customHeight="1">
      <c r="B126" s="1141" t="s">
        <v>6</v>
      </c>
      <c r="C126" s="1141"/>
      <c r="D126" s="1141"/>
      <c r="E126" s="1141"/>
      <c r="F126" s="1141"/>
      <c r="G126" s="194"/>
      <c r="H126" s="195"/>
      <c r="I126" s="194"/>
      <c r="J126" s="196"/>
      <c r="K126" s="197"/>
      <c r="L126" s="197"/>
      <c r="M126" s="619"/>
      <c r="N126" s="198"/>
      <c r="O126" s="199"/>
    </row>
    <row r="127" spans="1:28" s="201" customFormat="1" ht="25" customHeight="1">
      <c r="B127" s="8" t="s">
        <v>7</v>
      </c>
      <c r="C127" s="76"/>
      <c r="D127" s="76"/>
      <c r="E127" s="76"/>
      <c r="F127" s="576"/>
      <c r="G127" s="194"/>
      <c r="H127" s="195"/>
      <c r="I127" s="194"/>
      <c r="J127" s="196"/>
      <c r="K127" s="197"/>
      <c r="L127" s="197"/>
      <c r="M127" s="619"/>
      <c r="N127" s="198"/>
      <c r="O127" s="219"/>
      <c r="Q127" s="192"/>
      <c r="R127" s="192"/>
      <c r="S127" s="192"/>
      <c r="T127" s="192"/>
      <c r="U127" s="192"/>
      <c r="V127" s="192"/>
      <c r="W127" s="192"/>
      <c r="Z127" s="202"/>
      <c r="AA127" s="202"/>
      <c r="AB127" s="202"/>
    </row>
    <row r="128" spans="1:28" s="261" customFormat="1" ht="25" customHeight="1">
      <c r="A128" s="327"/>
      <c r="B128" s="29"/>
      <c r="C128" s="9"/>
      <c r="D128" s="9"/>
      <c r="E128" s="9"/>
      <c r="F128" s="201"/>
      <c r="G128" s="201"/>
      <c r="H128" s="201"/>
      <c r="I128" s="201"/>
      <c r="J128" s="201"/>
      <c r="K128" s="201"/>
      <c r="L128" s="201"/>
      <c r="M128" s="627"/>
      <c r="N128" s="271"/>
      <c r="O128" s="316"/>
      <c r="R128" s="287"/>
      <c r="S128" s="287"/>
      <c r="T128" s="287"/>
      <c r="U128" s="287"/>
      <c r="V128" s="287"/>
      <c r="W128" s="287"/>
    </row>
    <row r="129" spans="1:34" ht="25" customHeight="1">
      <c r="A129" s="328"/>
      <c r="B129" s="478" t="s">
        <v>9</v>
      </c>
      <c r="D129" s="284" t="s">
        <v>88</v>
      </c>
      <c r="E129" s="138"/>
      <c r="F129" s="1149" t="s">
        <v>89</v>
      </c>
      <c r="G129" s="1149"/>
      <c r="H129" s="285" t="s">
        <v>90</v>
      </c>
      <c r="I129" s="284"/>
      <c r="J129" s="1124" t="s">
        <v>91</v>
      </c>
      <c r="K129" s="1124"/>
      <c r="L129" s="581"/>
      <c r="M129" s="628" t="s">
        <v>92</v>
      </c>
      <c r="N129" s="271"/>
      <c r="O129" s="205"/>
    </row>
    <row r="130" spans="1:34" ht="25" customHeight="1">
      <c r="A130" s="328"/>
      <c r="B130" s="1126" t="s">
        <v>93</v>
      </c>
      <c r="C130" s="1126"/>
      <c r="D130" s="507" t="s">
        <v>94</v>
      </c>
      <c r="E130" s="31"/>
      <c r="F130" s="1127">
        <f>BAAS_on.demand_EUR</f>
        <v>0.24010000000000004</v>
      </c>
      <c r="G130" s="1128"/>
      <c r="H130" s="329">
        <v>0</v>
      </c>
      <c r="I130" s="291" t="s">
        <v>69</v>
      </c>
      <c r="J130" s="1129" t="s">
        <v>94</v>
      </c>
      <c r="K130" s="1129"/>
      <c r="L130" s="330"/>
      <c r="M130" s="629">
        <f>ROUNDUP(H130*F130,2)</f>
        <v>0</v>
      </c>
      <c r="N130" s="271"/>
      <c r="O130" s="205"/>
    </row>
    <row r="131" spans="1:34" ht="25" customHeight="1">
      <c r="A131" s="328"/>
      <c r="B131" s="1130" t="s">
        <v>95</v>
      </c>
      <c r="C131" s="1130"/>
      <c r="D131" s="508">
        <f>BAAS_small.fee_EUR</f>
        <v>539</v>
      </c>
      <c r="E131" s="34"/>
      <c r="F131" s="1131">
        <f>BAAS_small_EUR</f>
        <v>0.17150000000000001</v>
      </c>
      <c r="G131" s="1132"/>
      <c r="H131" s="331">
        <v>0</v>
      </c>
      <c r="I131" s="295" t="s">
        <v>69</v>
      </c>
      <c r="J131" s="1133">
        <v>0.75</v>
      </c>
      <c r="K131" s="1134"/>
      <c r="L131" s="295"/>
      <c r="M131" s="630">
        <f>IF(H131&gt;0,IF(SUM($D$131+($F$131*((H131*(1-$J$131))-1000)))&lt;=D131,$D$131,$D$131+($F$131*((H131*(1-$J$131))-1000))),0)</f>
        <v>0</v>
      </c>
      <c r="N131" s="271"/>
      <c r="O131" s="205"/>
    </row>
    <row r="132" spans="1:34" s="335" customFormat="1" ht="25" customHeight="1">
      <c r="A132" s="332"/>
      <c r="B132" s="1135" t="s">
        <v>96</v>
      </c>
      <c r="C132" s="1135"/>
      <c r="D132" s="509">
        <f>BAAS_large.fee_EUR</f>
        <v>931</v>
      </c>
      <c r="E132" s="37"/>
      <c r="F132" s="1136">
        <f>BAAS_large_EUR</f>
        <v>9.0160000000000004E-2</v>
      </c>
      <c r="G132" s="1137"/>
      <c r="H132" s="318">
        <v>0</v>
      </c>
      <c r="I132" s="319" t="s">
        <v>69</v>
      </c>
      <c r="J132" s="1138">
        <v>0.75</v>
      </c>
      <c r="K132" s="1139"/>
      <c r="L132" s="319"/>
      <c r="M132" s="634">
        <f>IF(H132&gt;0,$D$132+($F$132*(H132*(1-$J$132))),0)</f>
        <v>0</v>
      </c>
      <c r="N132" s="271"/>
      <c r="O132" s="334"/>
      <c r="V132" s="202"/>
      <c r="W132" s="202"/>
      <c r="X132" s="202"/>
      <c r="Y132" s="202"/>
      <c r="Z132" s="202"/>
      <c r="AA132" s="202"/>
      <c r="AB132" s="202"/>
      <c r="AC132" s="202"/>
      <c r="AD132" s="202"/>
      <c r="AE132" s="202"/>
      <c r="AF132" s="202"/>
      <c r="AG132" s="202"/>
      <c r="AH132" s="202"/>
    </row>
    <row r="133" spans="1:34" s="335" customFormat="1" ht="25" customHeight="1">
      <c r="A133" s="332"/>
      <c r="B133" s="20" t="s">
        <v>402</v>
      </c>
      <c r="C133" s="21"/>
      <c r="D133" s="21"/>
      <c r="E133" s="21"/>
      <c r="F133" s="230"/>
      <c r="G133" s="231"/>
      <c r="H133" s="299" t="str">
        <f>SUM(H130:H132)&amp;" GB"</f>
        <v>0 GB</v>
      </c>
      <c r="I133" s="231"/>
      <c r="J133" s="231"/>
      <c r="K133" s="322"/>
      <c r="L133" s="322"/>
      <c r="M133" s="624">
        <f>SUM(M130:M132)</f>
        <v>0</v>
      </c>
      <c r="N133" s="271"/>
      <c r="O133" s="334"/>
      <c r="Q133" s="336"/>
      <c r="V133" s="202"/>
      <c r="W133" s="202"/>
      <c r="X133" s="202"/>
      <c r="Y133" s="202"/>
      <c r="Z133" s="202"/>
      <c r="AA133" s="202"/>
      <c r="AB133" s="202"/>
      <c r="AC133" s="202"/>
      <c r="AD133" s="202"/>
      <c r="AE133" s="202"/>
      <c r="AF133" s="202"/>
      <c r="AG133" s="202"/>
      <c r="AH133" s="202"/>
    </row>
    <row r="134" spans="1:34" s="335" customFormat="1" ht="25" customHeight="1">
      <c r="A134" s="332"/>
      <c r="B134" s="20"/>
      <c r="C134" s="21"/>
      <c r="D134" s="21"/>
      <c r="E134" s="21"/>
      <c r="F134" s="230"/>
      <c r="G134" s="231"/>
      <c r="H134" s="231"/>
      <c r="I134" s="231"/>
      <c r="J134" s="231"/>
      <c r="K134" s="322"/>
      <c r="L134" s="322"/>
      <c r="M134" s="622"/>
      <c r="N134" s="271"/>
      <c r="O134" s="334"/>
      <c r="Q134" s="336"/>
      <c r="V134" s="202"/>
      <c r="W134" s="202"/>
      <c r="X134" s="202"/>
      <c r="Y134" s="202"/>
      <c r="Z134" s="202"/>
      <c r="AA134" s="202"/>
      <c r="AB134" s="202"/>
      <c r="AC134" s="202"/>
      <c r="AD134" s="202"/>
      <c r="AE134" s="202"/>
      <c r="AF134" s="202"/>
      <c r="AG134" s="202"/>
      <c r="AH134" s="202"/>
    </row>
    <row r="135" spans="1:34" s="335" customFormat="1" ht="25" customHeight="1">
      <c r="A135" s="332"/>
      <c r="B135" s="1142" t="s">
        <v>97</v>
      </c>
      <c r="C135" s="1142"/>
      <c r="D135" s="1142"/>
      <c r="E135" s="1142"/>
      <c r="F135" s="1142"/>
      <c r="G135" s="1142"/>
      <c r="H135" s="1142"/>
      <c r="I135" s="1142"/>
      <c r="J135" s="231"/>
      <c r="K135" s="322"/>
      <c r="L135" s="322"/>
      <c r="M135" s="622"/>
      <c r="N135" s="50"/>
      <c r="O135" s="334"/>
      <c r="Q135" s="336"/>
      <c r="V135" s="202"/>
      <c r="W135" s="202"/>
      <c r="X135" s="202"/>
      <c r="Y135" s="202"/>
      <c r="Z135" s="202"/>
      <c r="AA135" s="202"/>
      <c r="AB135" s="202"/>
      <c r="AC135" s="202"/>
      <c r="AD135" s="202"/>
      <c r="AE135" s="202"/>
      <c r="AF135" s="202"/>
      <c r="AG135" s="202"/>
      <c r="AH135" s="202"/>
    </row>
    <row r="136" spans="1:34" ht="25" customHeight="1">
      <c r="B136" s="1142" t="s">
        <v>98</v>
      </c>
      <c r="C136" s="1142"/>
      <c r="D136" s="1142"/>
      <c r="E136" s="1142"/>
      <c r="F136" s="1142"/>
      <c r="G136" s="1142"/>
      <c r="H136" s="1142"/>
      <c r="I136" s="1142"/>
      <c r="J136" s="231"/>
      <c r="K136" s="322"/>
      <c r="L136" s="322"/>
      <c r="M136" s="622"/>
      <c r="N136" s="50"/>
      <c r="O136" s="219"/>
      <c r="Q136" s="192"/>
      <c r="R136" s="192"/>
    </row>
    <row r="137" spans="1:34" ht="25" customHeight="1">
      <c r="B137" s="1142" t="s">
        <v>99</v>
      </c>
      <c r="C137" s="1142"/>
      <c r="D137" s="1142"/>
      <c r="E137" s="1142"/>
      <c r="F137" s="1142"/>
      <c r="G137" s="1142"/>
      <c r="H137" s="1142"/>
      <c r="I137" s="1142"/>
      <c r="J137" s="301"/>
      <c r="K137" s="326"/>
      <c r="L137" s="326"/>
      <c r="M137" s="631"/>
      <c r="N137" s="304"/>
      <c r="O137" s="219"/>
      <c r="Q137" s="192"/>
      <c r="R137" s="192"/>
    </row>
    <row r="138" spans="1:34" ht="25" customHeight="1">
      <c r="B138" s="1142" t="s">
        <v>419</v>
      </c>
      <c r="C138" s="1142"/>
      <c r="D138" s="1142"/>
      <c r="E138" s="1142"/>
      <c r="F138" s="1142"/>
      <c r="G138" s="1142"/>
      <c r="H138" s="1142"/>
      <c r="I138" s="1142"/>
      <c r="J138" s="301"/>
      <c r="K138" s="326"/>
      <c r="L138" s="304"/>
      <c r="M138" s="631"/>
      <c r="N138" s="201"/>
      <c r="O138" s="219"/>
      <c r="P138" s="192"/>
      <c r="Q138" s="192"/>
    </row>
    <row r="139" spans="1:34" ht="25" customHeight="1">
      <c r="B139" s="30"/>
      <c r="C139" s="28"/>
      <c r="D139" s="28"/>
      <c r="E139" s="28"/>
      <c r="F139" s="324"/>
      <c r="G139" s="325"/>
      <c r="H139" s="301"/>
      <c r="I139" s="301"/>
      <c r="J139" s="301"/>
      <c r="K139" s="326"/>
      <c r="L139" s="304"/>
      <c r="M139" s="631"/>
      <c r="N139" s="201"/>
      <c r="O139" s="219"/>
      <c r="P139" s="192"/>
      <c r="Q139" s="192"/>
    </row>
    <row r="140" spans="1:34" ht="25" customHeight="1">
      <c r="B140" s="30"/>
      <c r="C140" s="28"/>
      <c r="D140" s="28"/>
      <c r="E140" s="28"/>
      <c r="F140" s="324"/>
      <c r="G140" s="325"/>
      <c r="H140" s="301"/>
      <c r="I140" s="301"/>
      <c r="J140" s="301"/>
      <c r="K140" s="326"/>
      <c r="L140" s="304"/>
      <c r="M140" s="631"/>
      <c r="N140" s="201"/>
      <c r="O140" s="219"/>
      <c r="P140" s="192"/>
      <c r="Q140" s="192"/>
    </row>
    <row r="141" spans="1:34" ht="25" customHeight="1">
      <c r="B141" s="30"/>
      <c r="C141" s="28"/>
      <c r="D141" s="28"/>
      <c r="E141" s="28"/>
      <c r="F141" s="324"/>
      <c r="G141" s="325"/>
      <c r="H141" s="301"/>
      <c r="I141" s="301"/>
      <c r="J141" s="301"/>
      <c r="K141" s="326"/>
      <c r="L141" s="304"/>
      <c r="M141" s="631"/>
      <c r="N141" s="201"/>
      <c r="O141" s="219"/>
      <c r="P141" s="192"/>
      <c r="Q141" s="192"/>
    </row>
    <row r="142" spans="1:34" ht="25" customHeight="1">
      <c r="B142" s="30"/>
      <c r="C142" s="28"/>
      <c r="D142" s="28"/>
      <c r="E142" s="28"/>
      <c r="F142" s="324"/>
      <c r="G142" s="325"/>
      <c r="H142" s="301"/>
      <c r="I142" s="301"/>
      <c r="J142" s="301"/>
      <c r="K142" s="326"/>
      <c r="L142" s="304"/>
      <c r="M142" s="631"/>
      <c r="N142" s="201"/>
      <c r="O142" s="219"/>
      <c r="P142" s="192"/>
      <c r="Q142" s="192"/>
    </row>
    <row r="143" spans="1:34" s="187" customFormat="1" ht="25" customHeight="1">
      <c r="B143" s="1140" t="s">
        <v>100</v>
      </c>
      <c r="C143" s="1140"/>
      <c r="D143" s="1140"/>
      <c r="E143" s="1140"/>
      <c r="F143" s="1140"/>
      <c r="G143" s="1140"/>
      <c r="H143" s="188"/>
      <c r="J143" s="189"/>
      <c r="K143" s="189"/>
      <c r="M143" s="631"/>
      <c r="N143" s="201"/>
      <c r="O143" s="219"/>
    </row>
    <row r="144" spans="1:34" s="187" customFormat="1" ht="25" customHeight="1">
      <c r="B144" s="1140"/>
      <c r="C144" s="1140"/>
      <c r="D144" s="1140"/>
      <c r="E144" s="1140"/>
      <c r="F144" s="1140"/>
      <c r="G144" s="1140"/>
      <c r="H144" s="188"/>
      <c r="J144" s="189"/>
      <c r="K144" s="189"/>
      <c r="M144" s="631"/>
      <c r="N144" s="201"/>
      <c r="O144" s="219"/>
    </row>
    <row r="145" spans="2:26" s="187" customFormat="1" ht="25" customHeight="1">
      <c r="B145" s="1140"/>
      <c r="C145" s="1140"/>
      <c r="D145" s="1140"/>
      <c r="E145" s="1140"/>
      <c r="F145" s="1140"/>
      <c r="G145" s="1140"/>
      <c r="H145" s="188"/>
      <c r="J145" s="189"/>
      <c r="K145" s="189"/>
      <c r="M145" s="631"/>
      <c r="N145" s="201"/>
      <c r="O145" s="219"/>
    </row>
    <row r="146" spans="2:26" s="187" customFormat="1" ht="25" customHeight="1">
      <c r="B146" s="1141" t="s">
        <v>6</v>
      </c>
      <c r="C146" s="1141"/>
      <c r="D146" s="1141"/>
      <c r="E146" s="1141"/>
      <c r="F146" s="1141"/>
      <c r="H146" s="188"/>
      <c r="J146" s="189"/>
      <c r="K146" s="189"/>
      <c r="M146" s="631"/>
      <c r="N146" s="201"/>
      <c r="O146" s="219"/>
    </row>
    <row r="147" spans="2:26" s="187" customFormat="1" ht="25" customHeight="1">
      <c r="B147" s="1125"/>
      <c r="C147" s="1125"/>
      <c r="D147" s="1125"/>
      <c r="E147" s="1125"/>
      <c r="F147" s="1125"/>
      <c r="G147" s="194"/>
      <c r="H147" s="195"/>
      <c r="I147" s="194"/>
      <c r="J147" s="196"/>
      <c r="K147" s="197"/>
      <c r="L147" s="194"/>
      <c r="M147" s="631"/>
      <c r="N147" s="201"/>
      <c r="O147" s="219"/>
    </row>
    <row r="148" spans="2:26" s="187" customFormat="1" ht="25" customHeight="1">
      <c r="B148" s="140"/>
      <c r="C148" s="140"/>
      <c r="D148" s="140"/>
      <c r="E148" s="140"/>
      <c r="F148" s="576"/>
      <c r="G148" s="194"/>
      <c r="H148" s="194"/>
      <c r="I148" s="194"/>
      <c r="J148" s="194"/>
      <c r="K148" s="194"/>
      <c r="L148" s="194"/>
      <c r="M148" s="619"/>
      <c r="N148" s="196"/>
      <c r="O148" s="219"/>
      <c r="P148" s="194"/>
      <c r="Q148" s="198"/>
      <c r="R148" s="304"/>
      <c r="S148" s="201"/>
    </row>
    <row r="149" spans="2:26" s="201" customFormat="1" ht="25" customHeight="1">
      <c r="B149" s="447" t="s">
        <v>101</v>
      </c>
      <c r="C149" s="140"/>
      <c r="D149" s="140"/>
      <c r="E149" s="140"/>
      <c r="F149" s="576"/>
      <c r="G149" s="194"/>
      <c r="H149" s="194"/>
      <c r="I149" s="194"/>
      <c r="J149" s="194"/>
      <c r="K149" s="194"/>
      <c r="L149" s="194"/>
      <c r="M149" s="619"/>
      <c r="N149" s="196"/>
      <c r="O149" s="219"/>
      <c r="P149" s="194"/>
      <c r="Q149" s="198"/>
      <c r="R149" s="304"/>
      <c r="U149" s="192"/>
      <c r="V149" s="192"/>
      <c r="W149" s="192"/>
      <c r="X149" s="192"/>
      <c r="Y149" s="192"/>
      <c r="Z149" s="192"/>
    </row>
    <row r="150" spans="2:26" ht="25" customHeight="1">
      <c r="B150" s="510" t="s">
        <v>9</v>
      </c>
      <c r="C150" s="25" t="s">
        <v>102</v>
      </c>
      <c r="D150" s="25"/>
      <c r="E150" s="26" t="s">
        <v>64</v>
      </c>
      <c r="F150" s="284"/>
      <c r="G150" s="583"/>
      <c r="H150" s="583"/>
      <c r="I150" s="583"/>
      <c r="J150" s="583"/>
      <c r="K150" s="337" t="s">
        <v>103</v>
      </c>
      <c r="L150" s="1108" t="s">
        <v>14</v>
      </c>
      <c r="M150" s="1108"/>
      <c r="N150" s="212"/>
      <c r="O150" s="219"/>
      <c r="P150" s="339"/>
      <c r="Q150" s="338"/>
      <c r="R150" s="304"/>
      <c r="S150" s="201"/>
    </row>
    <row r="151" spans="2:26" ht="25" customHeight="1">
      <c r="B151" s="141" t="s">
        <v>104</v>
      </c>
      <c r="C151" s="32" t="s">
        <v>105</v>
      </c>
      <c r="D151" s="136"/>
      <c r="E151" s="41" t="s">
        <v>106</v>
      </c>
      <c r="F151" s="340"/>
      <c r="G151" s="341"/>
      <c r="H151" s="341"/>
      <c r="I151" s="341"/>
      <c r="J151" s="341"/>
      <c r="K151" s="342" t="s">
        <v>107</v>
      </c>
      <c r="L151" s="1120">
        <f>NET_publicv4_EUR</f>
        <v>2.4500000000000002</v>
      </c>
      <c r="M151" s="1120"/>
      <c r="O151" s="219"/>
      <c r="P151" s="203"/>
      <c r="Q151" s="168"/>
      <c r="R151" s="304"/>
      <c r="S151" s="201"/>
    </row>
    <row r="152" spans="2:26" ht="25" customHeight="1">
      <c r="B152" s="144" t="s">
        <v>108</v>
      </c>
      <c r="C152" s="40" t="s">
        <v>109</v>
      </c>
      <c r="D152" s="137"/>
      <c r="E152" s="43" t="s">
        <v>106</v>
      </c>
      <c r="F152" s="343"/>
      <c r="G152" s="344"/>
      <c r="H152" s="344"/>
      <c r="I152" s="344"/>
      <c r="J152" s="344"/>
      <c r="K152" s="345" t="s">
        <v>94</v>
      </c>
      <c r="L152" s="1121">
        <f>NET_publicv6_EUR</f>
        <v>0</v>
      </c>
      <c r="M152" s="1121"/>
      <c r="O152" s="219"/>
      <c r="P152" s="203"/>
      <c r="Q152" s="168"/>
      <c r="R152" s="304"/>
      <c r="S152" s="201"/>
    </row>
    <row r="153" spans="2:26" ht="25" customHeight="1">
      <c r="B153" s="141" t="s">
        <v>110</v>
      </c>
      <c r="C153" s="32" t="s">
        <v>111</v>
      </c>
      <c r="D153" s="136"/>
      <c r="E153" s="155"/>
      <c r="F153" s="346"/>
      <c r="G153" s="341"/>
      <c r="H153" s="341"/>
      <c r="I153" s="341"/>
      <c r="J153" s="341"/>
      <c r="K153" s="342" t="s">
        <v>69</v>
      </c>
      <c r="L153" s="1122">
        <f>NET_ingress_EUR</f>
        <v>0</v>
      </c>
      <c r="M153" s="1122"/>
      <c r="O153" s="219"/>
      <c r="P153" s="203"/>
      <c r="Q153" s="168"/>
      <c r="R153" s="304"/>
      <c r="S153" s="201"/>
    </row>
    <row r="154" spans="2:26" ht="25" customHeight="1">
      <c r="B154" s="144" t="s">
        <v>112</v>
      </c>
      <c r="C154" s="492" t="s">
        <v>111</v>
      </c>
      <c r="D154" s="137"/>
      <c r="E154" s="43" t="s">
        <v>113</v>
      </c>
      <c r="F154" s="343"/>
      <c r="G154" s="347"/>
      <c r="H154" s="347"/>
      <c r="I154" s="347"/>
      <c r="J154" s="347"/>
      <c r="K154" s="348" t="s">
        <v>69</v>
      </c>
      <c r="L154" s="1121">
        <f>NET_egress_EUR</f>
        <v>2.4500000000000001E-2</v>
      </c>
      <c r="M154" s="1121"/>
      <c r="O154" s="219"/>
      <c r="P154" s="203"/>
      <c r="Q154" s="168"/>
      <c r="R154" s="304"/>
      <c r="S154" s="201"/>
    </row>
    <row r="155" spans="2:26" ht="25" customHeight="1">
      <c r="B155" s="141" t="s">
        <v>114</v>
      </c>
      <c r="C155" s="32" t="s">
        <v>115</v>
      </c>
      <c r="D155" s="136"/>
      <c r="E155" s="32"/>
      <c r="F155" s="346"/>
      <c r="G155" s="341"/>
      <c r="H155" s="341"/>
      <c r="I155" s="341"/>
      <c r="J155" s="341"/>
      <c r="K155" s="342" t="s">
        <v>116</v>
      </c>
      <c r="L155" s="1117" t="str">
        <f>NET_mgn.slb_EUR</f>
        <v>Request a quote</v>
      </c>
      <c r="M155" s="1117"/>
      <c r="N155" s="168"/>
      <c r="O155" s="219"/>
      <c r="P155" s="168"/>
      <c r="Q155" s="349"/>
      <c r="S155" s="328"/>
    </row>
    <row r="156" spans="2:26" ht="25" customHeight="1">
      <c r="B156" s="144" t="s">
        <v>117</v>
      </c>
      <c r="C156" s="40" t="s">
        <v>118</v>
      </c>
      <c r="D156" s="137"/>
      <c r="E156" s="43"/>
      <c r="F156" s="343"/>
      <c r="G156" s="347"/>
      <c r="H156" s="347"/>
      <c r="I156" s="347"/>
      <c r="J156" s="347"/>
      <c r="K156" s="345" t="s">
        <v>94</v>
      </c>
      <c r="L156" s="1121">
        <f>NET_rdns_EUR</f>
        <v>0</v>
      </c>
      <c r="M156" s="1121"/>
      <c r="O156" s="219"/>
      <c r="P156" s="203"/>
      <c r="Q156" s="168"/>
      <c r="R156" s="304"/>
      <c r="S156" s="201"/>
    </row>
    <row r="157" spans="2:26" ht="25" customHeight="1">
      <c r="B157" s="141" t="s">
        <v>120</v>
      </c>
      <c r="C157" s="32" t="s">
        <v>121</v>
      </c>
      <c r="D157" s="136"/>
      <c r="E157" s="32"/>
      <c r="F157" s="346"/>
      <c r="G157" s="341"/>
      <c r="H157" s="341"/>
      <c r="I157" s="341"/>
      <c r="J157" s="341"/>
      <c r="K157" s="342" t="s">
        <v>94</v>
      </c>
      <c r="L157" s="1117">
        <f>NET_byoip_EUR</f>
        <v>0</v>
      </c>
      <c r="M157" s="1117"/>
      <c r="O157" s="219"/>
      <c r="P157" s="203"/>
      <c r="Q157" s="647"/>
      <c r="R157" s="648"/>
      <c r="S157" s="201"/>
    </row>
    <row r="158" spans="2:26" ht="25" customHeight="1">
      <c r="B158" s="148"/>
      <c r="C158" s="148"/>
      <c r="D158" s="149"/>
      <c r="E158" s="149"/>
      <c r="F158" s="352"/>
      <c r="G158" s="352"/>
      <c r="H158" s="352"/>
      <c r="I158" s="352"/>
      <c r="J158" s="352"/>
      <c r="K158" s="351"/>
      <c r="L158" s="1119"/>
      <c r="M158" s="1119"/>
      <c r="O158" s="219"/>
      <c r="P158" s="203"/>
      <c r="Q158" s="168"/>
      <c r="R158" s="304"/>
      <c r="S158" s="201"/>
    </row>
    <row r="159" spans="2:26" ht="25" customHeight="1">
      <c r="B159" s="202"/>
      <c r="C159" s="202"/>
      <c r="D159" s="15"/>
      <c r="E159" s="15"/>
      <c r="F159" s="212"/>
      <c r="G159" s="212"/>
      <c r="H159" s="212"/>
      <c r="I159" s="212"/>
      <c r="J159" s="212"/>
      <c r="K159" s="353"/>
      <c r="L159" s="1103"/>
      <c r="M159" s="1103"/>
      <c r="N159" s="168"/>
      <c r="O159" s="219"/>
      <c r="P159" s="168"/>
      <c r="Q159" s="349"/>
      <c r="R159" s="304"/>
      <c r="S159" s="201"/>
    </row>
    <row r="160" spans="2:26" ht="25" customHeight="1">
      <c r="B160" s="510" t="s">
        <v>9</v>
      </c>
      <c r="C160" s="25"/>
      <c r="D160" s="26"/>
      <c r="E160" s="26" t="s">
        <v>64</v>
      </c>
      <c r="F160" s="284"/>
      <c r="G160" s="583"/>
      <c r="H160" s="583"/>
      <c r="I160" s="583"/>
      <c r="J160" s="583"/>
      <c r="K160" s="337" t="s">
        <v>103</v>
      </c>
      <c r="L160" s="1108" t="s">
        <v>14</v>
      </c>
      <c r="M160" s="1108"/>
      <c r="O160" s="219"/>
      <c r="P160" s="168"/>
      <c r="Q160" s="168"/>
      <c r="R160" s="304"/>
      <c r="S160" s="201"/>
    </row>
    <row r="161" spans="2:22" ht="25" customHeight="1">
      <c r="B161" s="141" t="s">
        <v>122</v>
      </c>
      <c r="C161" s="136"/>
      <c r="D161" s="32"/>
      <c r="E161" s="32" t="s">
        <v>123</v>
      </c>
      <c r="F161" s="340"/>
      <c r="G161" s="341"/>
      <c r="H161" s="341"/>
      <c r="I161" s="341"/>
      <c r="J161" s="341"/>
      <c r="K161" s="342" t="s">
        <v>10</v>
      </c>
      <c r="L161" s="1120">
        <f>SW_win.ser.201X_EUR</f>
        <v>7.6440000000000001</v>
      </c>
      <c r="M161" s="1120"/>
      <c r="N161" s="301"/>
      <c r="O161" s="219"/>
      <c r="P161" s="168"/>
      <c r="Q161" s="304"/>
      <c r="R161" s="304"/>
      <c r="S161" s="201"/>
      <c r="U161" s="192"/>
      <c r="V161" s="192"/>
    </row>
    <row r="162" spans="2:22" ht="25" customHeight="1">
      <c r="B162" s="144" t="s">
        <v>124</v>
      </c>
      <c r="C162" s="137"/>
      <c r="D162" s="40"/>
      <c r="E162" s="40" t="s">
        <v>125</v>
      </c>
      <c r="F162" s="343"/>
      <c r="G162" s="344"/>
      <c r="H162" s="344"/>
      <c r="I162" s="344"/>
      <c r="J162" s="344"/>
      <c r="K162" s="348" t="s">
        <v>10</v>
      </c>
      <c r="L162" s="1116">
        <f>SW_win.ser.201X_EUR</f>
        <v>7.6440000000000001</v>
      </c>
      <c r="M162" s="1116"/>
      <c r="N162" s="301"/>
      <c r="O162" s="219"/>
      <c r="P162" s="168"/>
      <c r="Q162" s="304"/>
      <c r="R162" s="304"/>
      <c r="S162" s="201"/>
      <c r="U162" s="192"/>
      <c r="V162" s="192"/>
    </row>
    <row r="163" spans="2:22" s="187" customFormat="1" ht="25" customHeight="1">
      <c r="B163" s="141" t="s">
        <v>126</v>
      </c>
      <c r="C163" s="136"/>
      <c r="D163" s="32"/>
      <c r="E163" s="32" t="s">
        <v>418</v>
      </c>
      <c r="F163" s="340"/>
      <c r="G163" s="341"/>
      <c r="H163" s="341"/>
      <c r="I163" s="341"/>
      <c r="J163" s="341"/>
      <c r="K163" s="342" t="s">
        <v>10</v>
      </c>
      <c r="L163" s="1117">
        <f>SW_ms.sql.ser_EUR</f>
        <v>146.804</v>
      </c>
      <c r="M163" s="1117"/>
      <c r="O163" s="219"/>
      <c r="P163" s="168"/>
      <c r="R163" s="304"/>
      <c r="S163" s="201"/>
    </row>
    <row r="164" spans="2:22" ht="25" customHeight="1">
      <c r="B164" s="144" t="s">
        <v>128</v>
      </c>
      <c r="C164" s="137"/>
      <c r="D164" s="40"/>
      <c r="E164" s="40" t="s">
        <v>129</v>
      </c>
      <c r="F164" s="343"/>
      <c r="G164" s="344"/>
      <c r="H164" s="344"/>
      <c r="I164" s="344"/>
      <c r="J164" s="344"/>
      <c r="K164" s="348" t="s">
        <v>116</v>
      </c>
      <c r="L164" s="1118" t="str">
        <f>SW_stackn_EUR</f>
        <v>Request a quote</v>
      </c>
      <c r="M164" s="1118"/>
      <c r="O164" s="219"/>
      <c r="P164" s="168"/>
      <c r="Q164" s="168"/>
      <c r="R164" s="304"/>
      <c r="S164" s="201"/>
    </row>
    <row r="165" spans="2:22" ht="25" customHeight="1">
      <c r="B165" s="141" t="s">
        <v>130</v>
      </c>
      <c r="C165" s="136"/>
      <c r="D165" s="32"/>
      <c r="E165" s="32" t="s">
        <v>131</v>
      </c>
      <c r="F165" s="340"/>
      <c r="G165" s="341"/>
      <c r="H165" s="341"/>
      <c r="I165" s="341"/>
      <c r="J165" s="341"/>
      <c r="K165" s="350" t="s">
        <v>94</v>
      </c>
      <c r="L165" s="1112" t="str">
        <f>SW_nextcloud_EUR</f>
        <v>Request a quote</v>
      </c>
      <c r="M165" s="1112"/>
      <c r="N165" s="301"/>
      <c r="O165" s="219"/>
      <c r="P165" s="168"/>
      <c r="Q165" s="304"/>
      <c r="R165" s="304"/>
      <c r="S165" s="201"/>
      <c r="U165" s="192"/>
      <c r="V165" s="192"/>
    </row>
    <row r="166" spans="2:22" s="187" customFormat="1" ht="25" customHeight="1">
      <c r="B166" s="144" t="s">
        <v>132</v>
      </c>
      <c r="C166" s="137"/>
      <c r="D166" s="40"/>
      <c r="E166" s="40" t="s">
        <v>133</v>
      </c>
      <c r="F166" s="343"/>
      <c r="G166" s="344"/>
      <c r="H166" s="344"/>
      <c r="I166" s="344"/>
      <c r="J166" s="344"/>
      <c r="K166" s="345" t="s">
        <v>94</v>
      </c>
      <c r="L166" s="1118" t="str">
        <f>SW_suse_EUR</f>
        <v>Request a quote</v>
      </c>
      <c r="M166" s="1118"/>
      <c r="O166" s="219"/>
      <c r="P166" s="168"/>
      <c r="R166" s="304"/>
      <c r="S166" s="201"/>
    </row>
    <row r="167" spans="2:22" ht="25" customHeight="1">
      <c r="B167" s="141" t="s">
        <v>134</v>
      </c>
      <c r="C167" s="136"/>
      <c r="D167" s="32"/>
      <c r="E167" s="32" t="s">
        <v>135</v>
      </c>
      <c r="F167" s="340"/>
      <c r="G167" s="341"/>
      <c r="H167" s="341"/>
      <c r="I167" s="341"/>
      <c r="J167" s="341"/>
      <c r="K167" s="461" t="s">
        <v>116</v>
      </c>
      <c r="L167" s="1112" t="str">
        <f>SW_cluster.control_EUR</f>
        <v>3x instance price</v>
      </c>
      <c r="M167" s="1112"/>
      <c r="O167" s="219"/>
      <c r="P167" s="168"/>
      <c r="Q167" s="168"/>
      <c r="R167" s="304"/>
      <c r="S167" s="201"/>
    </row>
    <row r="168" spans="2:22" ht="25" customHeight="1">
      <c r="B168" s="144" t="s">
        <v>136</v>
      </c>
      <c r="C168" s="137"/>
      <c r="D168" s="40"/>
      <c r="E168" s="40" t="s">
        <v>137</v>
      </c>
      <c r="F168" s="343"/>
      <c r="G168" s="344"/>
      <c r="H168" s="344"/>
      <c r="I168" s="344"/>
      <c r="J168" s="344"/>
      <c r="K168" s="348" t="s">
        <v>138</v>
      </c>
      <c r="L168" s="1113">
        <f>SW_backup.ninja_EUR</f>
        <v>39.200000000000003</v>
      </c>
      <c r="M168" s="1113"/>
      <c r="O168" s="219"/>
      <c r="P168" s="168"/>
      <c r="Q168" s="168"/>
      <c r="R168" s="304"/>
      <c r="S168" s="201"/>
    </row>
    <row r="169" spans="2:22" ht="25" customHeight="1">
      <c r="B169" s="109"/>
      <c r="C169" s="106"/>
      <c r="D169" s="107"/>
      <c r="E169" s="107"/>
      <c r="F169" s="356"/>
      <c r="G169" s="357"/>
      <c r="H169" s="357"/>
      <c r="I169" s="357"/>
      <c r="J169" s="357"/>
      <c r="K169" s="358"/>
      <c r="L169" s="1101"/>
      <c r="M169" s="1101"/>
      <c r="O169" s="219"/>
      <c r="P169" s="203"/>
      <c r="Q169" s="168"/>
      <c r="R169" s="304"/>
      <c r="S169" s="201"/>
    </row>
    <row r="170" spans="2:22" ht="25" customHeight="1">
      <c r="B170" s="511"/>
      <c r="J170" s="202"/>
      <c r="K170" s="360"/>
      <c r="L170" s="1114"/>
      <c r="M170" s="1114"/>
      <c r="N170" s="168"/>
      <c r="O170" s="219"/>
      <c r="P170" s="168"/>
      <c r="Q170" s="349"/>
      <c r="R170" s="304"/>
      <c r="S170" s="201"/>
    </row>
    <row r="171" spans="2:22" ht="25" customHeight="1">
      <c r="B171" s="447" t="s">
        <v>139</v>
      </c>
      <c r="C171" s="15"/>
      <c r="D171" s="15"/>
      <c r="E171" s="15"/>
      <c r="F171" s="212"/>
      <c r="G171" s="212"/>
      <c r="H171" s="212"/>
      <c r="I171" s="212"/>
      <c r="J171" s="212"/>
      <c r="K171" s="353"/>
      <c r="L171" s="1103"/>
      <c r="M171" s="1103"/>
      <c r="N171" s="168"/>
      <c r="O171" s="219"/>
      <c r="P171" s="168"/>
      <c r="Q171" s="349"/>
      <c r="R171" s="304"/>
      <c r="S171" s="201"/>
    </row>
    <row r="172" spans="2:22" ht="25" customHeight="1">
      <c r="B172" s="510" t="s">
        <v>9</v>
      </c>
      <c r="C172" s="25"/>
      <c r="D172" s="26"/>
      <c r="E172" s="26" t="s">
        <v>64</v>
      </c>
      <c r="F172" s="284"/>
      <c r="G172" s="583"/>
      <c r="H172" s="583"/>
      <c r="I172" s="583"/>
      <c r="J172" s="583"/>
      <c r="K172" s="337" t="s">
        <v>103</v>
      </c>
      <c r="L172" s="1108" t="s">
        <v>14</v>
      </c>
      <c r="M172" s="1108"/>
      <c r="N172" s="168"/>
      <c r="O172" s="219"/>
      <c r="P172" s="168"/>
      <c r="Q172" s="349"/>
      <c r="R172" s="304"/>
      <c r="S172" s="201"/>
    </row>
    <row r="173" spans="2:22" ht="25" customHeight="1">
      <c r="B173" s="141" t="s">
        <v>413</v>
      </c>
      <c r="C173" s="136"/>
      <c r="D173" s="32"/>
      <c r="E173" s="32" t="s">
        <v>415</v>
      </c>
      <c r="F173" s="340"/>
      <c r="G173" s="341"/>
      <c r="H173" s="341"/>
      <c r="I173" s="341"/>
      <c r="J173" s="341"/>
      <c r="K173" s="342"/>
      <c r="L173" s="1109">
        <f>PAAS_man.kubernetes24_EUR</f>
        <v>2352</v>
      </c>
      <c r="M173" s="1109"/>
      <c r="N173" s="168"/>
      <c r="O173" s="219"/>
      <c r="P173" s="168"/>
      <c r="Q173" s="349"/>
      <c r="R173" s="304"/>
      <c r="S173" s="201"/>
    </row>
    <row r="174" spans="2:22" ht="25" customHeight="1">
      <c r="B174" s="144" t="s">
        <v>414</v>
      </c>
      <c r="C174" s="137"/>
      <c r="D174" s="40"/>
      <c r="E174" s="40" t="s">
        <v>416</v>
      </c>
      <c r="F174" s="343"/>
      <c r="G174" s="344"/>
      <c r="H174" s="344"/>
      <c r="I174" s="344"/>
      <c r="J174" s="344"/>
      <c r="K174" s="348"/>
      <c r="L174" s="1110">
        <f>PAAS_man.kubernetes8_EUR</f>
        <v>1470</v>
      </c>
      <c r="M174" s="1110"/>
      <c r="N174" s="168"/>
      <c r="O174" s="219"/>
      <c r="P174" s="168"/>
      <c r="Q174" s="349"/>
      <c r="R174" s="304"/>
      <c r="S174" s="201"/>
    </row>
    <row r="175" spans="2:22" ht="25" customHeight="1">
      <c r="B175" s="141" t="s">
        <v>141</v>
      </c>
      <c r="C175" s="136"/>
      <c r="D175" s="32"/>
      <c r="E175" s="32" t="s">
        <v>142</v>
      </c>
      <c r="F175" s="340"/>
      <c r="G175" s="341"/>
      <c r="H175" s="341"/>
      <c r="I175" s="341"/>
      <c r="J175" s="341"/>
      <c r="K175" s="342" t="s">
        <v>116</v>
      </c>
      <c r="L175" s="1111" t="str">
        <f>PAAS_man.elasticsearch_EUR</f>
        <v>Requests for quotation</v>
      </c>
      <c r="M175" s="1111"/>
      <c r="N175" s="168"/>
      <c r="O175" s="219"/>
      <c r="P175" s="168"/>
      <c r="Q175" s="349"/>
      <c r="R175" s="304"/>
      <c r="S175" s="201"/>
    </row>
    <row r="176" spans="2:22" ht="25" customHeight="1">
      <c r="B176" s="144" t="s">
        <v>143</v>
      </c>
      <c r="C176" s="137"/>
      <c r="D176" s="40"/>
      <c r="E176" s="40" t="s">
        <v>144</v>
      </c>
      <c r="F176" s="343"/>
      <c r="G176" s="344"/>
      <c r="H176" s="344"/>
      <c r="I176" s="344"/>
      <c r="J176" s="344"/>
      <c r="K176" s="348" t="s">
        <v>145</v>
      </c>
      <c r="L176" s="1110" t="str">
        <f>PAAS_man.redis_EUR</f>
        <v>Requests for quotation</v>
      </c>
      <c r="M176" s="1110"/>
      <c r="N176" s="168"/>
      <c r="O176" s="219"/>
      <c r="P176" s="168"/>
      <c r="Q176" s="349"/>
      <c r="R176" s="304"/>
      <c r="S176" s="201"/>
    </row>
    <row r="177" spans="2:19" ht="25" customHeight="1">
      <c r="B177" s="141" t="s">
        <v>146</v>
      </c>
      <c r="C177" s="136"/>
      <c r="D177" s="32"/>
      <c r="E177" s="32" t="s">
        <v>147</v>
      </c>
      <c r="F177" s="340"/>
      <c r="G177" s="341"/>
      <c r="H177" s="341"/>
      <c r="I177" s="341"/>
      <c r="J177" s="341"/>
      <c r="K177" s="342" t="s">
        <v>148</v>
      </c>
      <c r="L177" s="1111" t="str">
        <f>PAAS_man.nats_EUR</f>
        <v>Requests for quotation</v>
      </c>
      <c r="M177" s="1111"/>
      <c r="N177" s="168"/>
      <c r="O177" s="219"/>
      <c r="P177" s="168"/>
      <c r="Q177" s="349"/>
      <c r="R177" s="304"/>
      <c r="S177" s="201"/>
    </row>
    <row r="178" spans="2:19" ht="25" customHeight="1">
      <c r="B178" s="144" t="s">
        <v>149</v>
      </c>
      <c r="C178" s="137"/>
      <c r="D178" s="40"/>
      <c r="E178" s="40" t="s">
        <v>150</v>
      </c>
      <c r="F178" s="343"/>
      <c r="G178" s="344"/>
      <c r="H178" s="344"/>
      <c r="I178" s="344"/>
      <c r="J178" s="344"/>
      <c r="K178" s="348" t="s">
        <v>140</v>
      </c>
      <c r="L178" s="1115" t="str">
        <f>PAAS_man.mariadb_EUR</f>
        <v>Requests for quotation</v>
      </c>
      <c r="M178" s="1115"/>
      <c r="N178" s="168"/>
      <c r="O178" s="219"/>
      <c r="P178" s="168"/>
      <c r="Q178" s="349"/>
      <c r="R178" s="304"/>
      <c r="S178" s="201"/>
    </row>
    <row r="179" spans="2:19" ht="25" customHeight="1">
      <c r="B179" s="109"/>
      <c r="C179" s="106"/>
      <c r="D179" s="428"/>
      <c r="E179" s="108"/>
      <c r="F179" s="356"/>
      <c r="G179" s="357"/>
      <c r="H179" s="357"/>
      <c r="I179" s="357"/>
      <c r="J179" s="357"/>
      <c r="K179" s="358"/>
      <c r="L179" s="1101"/>
      <c r="M179" s="1101"/>
      <c r="N179" s="168"/>
      <c r="O179" s="219"/>
      <c r="P179" s="168"/>
      <c r="Q179" s="349"/>
      <c r="R179" s="304"/>
      <c r="S179" s="201"/>
    </row>
    <row r="180" spans="2:19" ht="25" customHeight="1">
      <c r="B180" s="137"/>
      <c r="C180" s="137"/>
      <c r="D180" s="40"/>
      <c r="E180" s="33"/>
      <c r="F180" s="343"/>
      <c r="G180" s="344"/>
      <c r="H180" s="348"/>
      <c r="I180" s="591"/>
      <c r="K180" s="168"/>
      <c r="L180" s="1106"/>
      <c r="M180" s="1106"/>
      <c r="N180" s="201"/>
      <c r="O180" s="219"/>
    </row>
    <row r="181" spans="2:19" ht="25" customHeight="1">
      <c r="B181" s="30"/>
      <c r="C181" s="28"/>
      <c r="D181" s="28"/>
      <c r="E181" s="28"/>
      <c r="F181" s="324"/>
      <c r="G181" s="325"/>
      <c r="H181" s="323"/>
      <c r="I181" s="301"/>
      <c r="J181" s="301"/>
      <c r="K181" s="304"/>
      <c r="L181" s="1107"/>
      <c r="M181" s="1107"/>
      <c r="N181" s="201"/>
      <c r="O181" s="219"/>
      <c r="P181" s="192"/>
      <c r="Q181" s="192"/>
    </row>
    <row r="182" spans="2:19" s="187" customFormat="1" ht="25" customHeight="1">
      <c r="B182" s="1140" t="s">
        <v>151</v>
      </c>
      <c r="C182" s="1140"/>
      <c r="D182" s="1140"/>
      <c r="E182" s="1140"/>
      <c r="F182" s="1140"/>
      <c r="G182" s="1140"/>
      <c r="H182" s="361"/>
      <c r="J182" s="189"/>
      <c r="L182" s="1159"/>
      <c r="M182" s="1159"/>
      <c r="N182" s="201"/>
      <c r="O182" s="219"/>
    </row>
    <row r="183" spans="2:19" s="187" customFormat="1" ht="25" customHeight="1">
      <c r="B183" s="1140"/>
      <c r="C183" s="1140"/>
      <c r="D183" s="1140"/>
      <c r="E183" s="1140"/>
      <c r="F183" s="1140"/>
      <c r="G183" s="1140"/>
      <c r="H183" s="361"/>
      <c r="J183" s="189"/>
      <c r="L183" s="1159"/>
      <c r="M183" s="1159"/>
      <c r="N183" s="201"/>
      <c r="O183" s="219"/>
    </row>
    <row r="184" spans="2:19" s="187" customFormat="1" ht="25" customHeight="1">
      <c r="B184" s="1140"/>
      <c r="C184" s="1140"/>
      <c r="D184" s="1140"/>
      <c r="E184" s="1140"/>
      <c r="F184" s="1140"/>
      <c r="G184" s="1140"/>
      <c r="H184" s="361"/>
      <c r="J184" s="189"/>
      <c r="L184" s="1159"/>
      <c r="M184" s="1159"/>
      <c r="N184" s="201"/>
      <c r="O184" s="219"/>
    </row>
    <row r="185" spans="2:19" s="187" customFormat="1" ht="25" customHeight="1">
      <c r="B185" s="1141" t="s">
        <v>6</v>
      </c>
      <c r="C185" s="1141"/>
      <c r="D185" s="1141"/>
      <c r="E185" s="1141"/>
      <c r="F185" s="1141"/>
      <c r="H185" s="361"/>
      <c r="J185" s="189"/>
      <c r="L185" s="1159"/>
      <c r="M185" s="1159"/>
      <c r="N185" s="201"/>
      <c r="O185" s="219"/>
    </row>
    <row r="186" spans="2:19" s="187" customFormat="1" ht="25" customHeight="1">
      <c r="B186" s="1125"/>
      <c r="C186" s="1125"/>
      <c r="D186" s="1125"/>
      <c r="E186" s="1125"/>
      <c r="F186" s="1125"/>
      <c r="G186" s="194"/>
      <c r="H186" s="195"/>
      <c r="I186" s="194"/>
      <c r="J186" s="196"/>
      <c r="K186" s="194"/>
      <c r="L186" s="1160"/>
      <c r="M186" s="1160"/>
      <c r="N186" s="201"/>
      <c r="O186" s="219"/>
    </row>
    <row r="187" spans="2:19" s="187" customFormat="1" ht="25" customHeight="1">
      <c r="B187" s="140"/>
      <c r="C187" s="140"/>
      <c r="D187" s="140"/>
      <c r="E187" s="140"/>
      <c r="F187" s="576"/>
      <c r="G187" s="194"/>
      <c r="H187" s="195"/>
      <c r="I187" s="194"/>
      <c r="J187" s="196"/>
      <c r="K187" s="194"/>
      <c r="L187" s="1160"/>
      <c r="M187" s="1160"/>
      <c r="N187" s="201"/>
      <c r="O187" s="219"/>
    </row>
    <row r="188" spans="2:19" ht="25" customHeight="1">
      <c r="B188" s="447" t="s">
        <v>152</v>
      </c>
      <c r="C188" s="15"/>
      <c r="D188" s="15"/>
      <c r="F188" s="212"/>
      <c r="G188" s="212"/>
      <c r="H188" s="212"/>
      <c r="I188" s="212"/>
      <c r="J188" s="212"/>
      <c r="K188" s="212"/>
      <c r="L188" s="1161"/>
      <c r="M188" s="1161"/>
      <c r="N188" s="201"/>
      <c r="O188" s="219"/>
      <c r="P188" s="192"/>
      <c r="Q188" s="192"/>
    </row>
    <row r="189" spans="2:19" ht="25" customHeight="1">
      <c r="B189" s="25" t="s">
        <v>9</v>
      </c>
      <c r="C189" s="25"/>
      <c r="D189" s="25"/>
      <c r="E189" s="26" t="s">
        <v>64</v>
      </c>
      <c r="F189" s="284"/>
      <c r="G189" s="583"/>
      <c r="H189" s="583"/>
      <c r="I189" s="583"/>
      <c r="J189" s="583"/>
      <c r="K189" s="337" t="s">
        <v>103</v>
      </c>
      <c r="L189" s="1108" t="s">
        <v>14</v>
      </c>
      <c r="M189" s="1108"/>
      <c r="N189" s="201"/>
      <c r="O189" s="219"/>
      <c r="P189" s="192"/>
      <c r="Q189" s="192"/>
    </row>
    <row r="190" spans="2:19" ht="25" customHeight="1">
      <c r="B190" s="141" t="s">
        <v>153</v>
      </c>
      <c r="C190" s="136"/>
      <c r="D190" s="136"/>
      <c r="E190" s="32" t="s">
        <v>154</v>
      </c>
      <c r="F190" s="340"/>
      <c r="G190" s="341"/>
      <c r="H190" s="341"/>
      <c r="I190" s="341"/>
      <c r="J190" s="341"/>
      <c r="K190" s="350" t="s">
        <v>94</v>
      </c>
      <c r="L190" s="1162">
        <v>0</v>
      </c>
      <c r="M190" s="1162"/>
      <c r="N190" s="201"/>
      <c r="O190" s="219"/>
      <c r="P190" s="192"/>
      <c r="Q190" s="192"/>
    </row>
    <row r="191" spans="2:19" ht="25" customHeight="1">
      <c r="B191" s="144" t="s">
        <v>155</v>
      </c>
      <c r="C191" s="137"/>
      <c r="D191" s="137"/>
      <c r="E191" s="40" t="s">
        <v>156</v>
      </c>
      <c r="F191" s="343"/>
      <c r="G191" s="344"/>
      <c r="H191" s="344"/>
      <c r="I191" s="344"/>
      <c r="J191" s="344"/>
      <c r="K191" s="348" t="s">
        <v>157</v>
      </c>
      <c r="L191" s="1099" t="s">
        <v>158</v>
      </c>
      <c r="M191" s="1099"/>
      <c r="N191" s="201"/>
      <c r="O191" s="219"/>
      <c r="P191" s="192"/>
      <c r="Q191" s="192"/>
    </row>
    <row r="192" spans="2:19" ht="25" customHeight="1">
      <c r="B192" s="141" t="s">
        <v>159</v>
      </c>
      <c r="C192" s="136"/>
      <c r="D192" s="136"/>
      <c r="E192" s="32" t="s">
        <v>160</v>
      </c>
      <c r="F192" s="340"/>
      <c r="G192" s="341"/>
      <c r="H192" s="341"/>
      <c r="I192" s="341"/>
      <c r="J192" s="341"/>
      <c r="K192" s="342" t="s">
        <v>161</v>
      </c>
      <c r="L192" s="1100" t="s">
        <v>162</v>
      </c>
      <c r="M192" s="1100"/>
      <c r="N192" s="201"/>
      <c r="O192" s="219"/>
      <c r="P192" s="192"/>
      <c r="Q192" s="192"/>
    </row>
    <row r="193" spans="2:17" ht="25" customHeight="1">
      <c r="B193" s="109"/>
      <c r="C193" s="106"/>
      <c r="D193" s="106"/>
      <c r="E193" s="428" t="s">
        <v>163</v>
      </c>
      <c r="F193" s="356"/>
      <c r="G193" s="357"/>
      <c r="H193" s="357"/>
      <c r="I193" s="357"/>
      <c r="J193" s="357"/>
      <c r="K193" s="358"/>
      <c r="L193" s="1101"/>
      <c r="M193" s="1101"/>
      <c r="N193" s="201"/>
      <c r="O193" s="219"/>
      <c r="P193" s="192"/>
      <c r="Q193" s="192"/>
    </row>
    <row r="194" spans="2:17" ht="25" customHeight="1">
      <c r="B194" s="144"/>
      <c r="C194" s="137"/>
      <c r="D194" s="137"/>
      <c r="E194" s="40"/>
      <c r="F194" s="343"/>
      <c r="G194" s="344"/>
      <c r="H194" s="344"/>
      <c r="I194" s="344"/>
      <c r="J194" s="344"/>
      <c r="K194" s="348"/>
      <c r="L194" s="1102"/>
      <c r="M194" s="1102"/>
      <c r="N194" s="201"/>
      <c r="O194" s="219"/>
      <c r="P194" s="192"/>
      <c r="Q194" s="192"/>
    </row>
    <row r="195" spans="2:17" ht="25" customHeight="1">
      <c r="B195" s="447" t="s">
        <v>164</v>
      </c>
      <c r="C195" s="15"/>
      <c r="D195" s="15"/>
      <c r="E195" s="15"/>
      <c r="F195" s="212"/>
      <c r="G195" s="212"/>
      <c r="H195" s="212"/>
      <c r="I195" s="212"/>
      <c r="J195" s="212"/>
      <c r="K195" s="353"/>
      <c r="L195" s="1103"/>
      <c r="M195" s="1103"/>
      <c r="N195" s="201"/>
      <c r="O195" s="219"/>
      <c r="P195" s="192"/>
      <c r="Q195" s="192"/>
    </row>
    <row r="196" spans="2:17" ht="25" customHeight="1">
      <c r="B196" s="510" t="s">
        <v>9</v>
      </c>
      <c r="C196" s="25"/>
      <c r="D196" s="25"/>
      <c r="E196" s="26" t="s">
        <v>64</v>
      </c>
      <c r="F196" s="284"/>
      <c r="G196" s="583"/>
      <c r="H196" s="583"/>
      <c r="I196" s="583"/>
      <c r="J196" s="583"/>
      <c r="K196" s="337" t="s">
        <v>103</v>
      </c>
      <c r="L196" s="1108" t="s">
        <v>14</v>
      </c>
      <c r="M196" s="1108"/>
      <c r="N196" s="201"/>
      <c r="O196" s="219"/>
      <c r="P196" s="192"/>
      <c r="Q196" s="192"/>
    </row>
    <row r="197" spans="2:17" ht="25" customHeight="1">
      <c r="B197" s="141" t="s">
        <v>165</v>
      </c>
      <c r="C197" s="136"/>
      <c r="D197" s="136"/>
      <c r="E197" s="32" t="s">
        <v>166</v>
      </c>
      <c r="F197" s="340"/>
      <c r="G197" s="341"/>
      <c r="H197" s="341"/>
      <c r="I197" s="341"/>
      <c r="J197" s="341"/>
      <c r="K197" s="342" t="s">
        <v>161</v>
      </c>
      <c r="L197" s="1120">
        <f>PS_consult.jun_EUR</f>
        <v>110.446</v>
      </c>
      <c r="M197" s="1120"/>
      <c r="N197" s="201"/>
      <c r="O197" s="219"/>
      <c r="P197" s="192"/>
      <c r="Q197" s="192"/>
    </row>
    <row r="198" spans="2:17" ht="25" customHeight="1">
      <c r="B198" s="144" t="s">
        <v>167</v>
      </c>
      <c r="C198" s="137"/>
      <c r="D198" s="137"/>
      <c r="E198" s="40" t="s">
        <v>168</v>
      </c>
      <c r="F198" s="343"/>
      <c r="G198" s="344"/>
      <c r="H198" s="344"/>
      <c r="I198" s="344"/>
      <c r="J198" s="344"/>
      <c r="K198" s="348" t="s">
        <v>161</v>
      </c>
      <c r="L198" s="1097">
        <f>PS_consult.sen_EUR</f>
        <v>134.65200000000002</v>
      </c>
      <c r="M198" s="1097"/>
      <c r="N198" s="201"/>
      <c r="O198" s="219"/>
      <c r="P198" s="192"/>
      <c r="Q198" s="192"/>
    </row>
    <row r="199" spans="2:17" ht="25" customHeight="1">
      <c r="B199" s="141" t="s">
        <v>169</v>
      </c>
      <c r="C199" s="136"/>
      <c r="D199" s="136"/>
      <c r="E199" s="32" t="s">
        <v>170</v>
      </c>
      <c r="F199" s="340"/>
      <c r="G199" s="341"/>
      <c r="H199" s="341"/>
      <c r="I199" s="341"/>
      <c r="J199" s="341"/>
      <c r="K199" s="342" t="s">
        <v>161</v>
      </c>
      <c r="L199" s="1098">
        <f>PS_cloudarch.jun_EUR</f>
        <v>125.146</v>
      </c>
      <c r="M199" s="1098"/>
      <c r="N199" s="201"/>
      <c r="O199" s="219"/>
      <c r="P199" s="192"/>
      <c r="Q199" s="192"/>
    </row>
    <row r="200" spans="2:17" ht="25" customHeight="1">
      <c r="B200" s="144" t="s">
        <v>171</v>
      </c>
      <c r="C200" s="137"/>
      <c r="D200" s="137"/>
      <c r="E200" s="40" t="s">
        <v>172</v>
      </c>
      <c r="F200" s="355"/>
      <c r="G200" s="344"/>
      <c r="H200" s="344"/>
      <c r="I200" s="344"/>
      <c r="J200" s="344"/>
      <c r="K200" s="348" t="s">
        <v>161</v>
      </c>
      <c r="L200" s="1097">
        <f>PS_cloudarch.sen_EUR</f>
        <v>134.65200000000002</v>
      </c>
      <c r="M200" s="1097"/>
      <c r="N200" s="201"/>
      <c r="O200" s="219"/>
      <c r="P200" s="192"/>
      <c r="Q200" s="192"/>
    </row>
    <row r="201" spans="2:17" ht="25" customHeight="1">
      <c r="B201" s="141" t="s">
        <v>173</v>
      </c>
      <c r="C201" s="136"/>
      <c r="D201" s="136"/>
      <c r="E201" s="32" t="s">
        <v>174</v>
      </c>
      <c r="F201" s="340"/>
      <c r="G201" s="341"/>
      <c r="H201" s="341"/>
      <c r="I201" s="341"/>
      <c r="J201" s="341"/>
      <c r="K201" s="342" t="s">
        <v>161</v>
      </c>
      <c r="L201" s="1098">
        <f>PS_pm.jun_EUR</f>
        <v>111.622</v>
      </c>
      <c r="M201" s="1098"/>
      <c r="N201" s="201"/>
      <c r="O201" s="219"/>
      <c r="P201" s="192"/>
      <c r="Q201" s="192"/>
    </row>
    <row r="202" spans="2:17" ht="25" customHeight="1">
      <c r="B202" s="144" t="s">
        <v>175</v>
      </c>
      <c r="C202" s="137"/>
      <c r="D202" s="137"/>
      <c r="E202" s="40" t="s">
        <v>176</v>
      </c>
      <c r="F202" s="343"/>
      <c r="G202" s="344"/>
      <c r="H202" s="344"/>
      <c r="I202" s="344"/>
      <c r="J202" s="344"/>
      <c r="K202" s="348" t="s">
        <v>161</v>
      </c>
      <c r="L202" s="1154">
        <f>PS_pm.sen_EUR</f>
        <v>134.65200000000002</v>
      </c>
      <c r="M202" s="1154"/>
      <c r="N202" s="201"/>
      <c r="O202" s="219"/>
      <c r="P202" s="192"/>
      <c r="Q202" s="192"/>
    </row>
    <row r="203" spans="2:17" ht="25" customHeight="1">
      <c r="B203" s="109"/>
      <c r="C203" s="106"/>
      <c r="D203" s="106"/>
      <c r="E203" s="428"/>
      <c r="F203" s="356"/>
      <c r="G203" s="357"/>
      <c r="H203" s="357"/>
      <c r="I203" s="357"/>
      <c r="J203" s="357"/>
      <c r="K203" s="358"/>
      <c r="L203" s="1101"/>
      <c r="M203" s="1101"/>
      <c r="N203" s="201"/>
      <c r="O203" s="219"/>
      <c r="P203" s="192"/>
      <c r="Q203" s="192"/>
    </row>
    <row r="204" spans="2:17" ht="25" customHeight="1">
      <c r="B204" s="144"/>
      <c r="C204" s="137"/>
      <c r="D204" s="137"/>
      <c r="E204" s="40"/>
      <c r="F204" s="343"/>
      <c r="G204" s="344"/>
      <c r="H204" s="344"/>
      <c r="I204" s="344"/>
      <c r="J204" s="344"/>
      <c r="K204" s="348"/>
      <c r="L204" s="1102"/>
      <c r="M204" s="1102"/>
      <c r="N204" s="201"/>
      <c r="O204" s="219"/>
    </row>
    <row r="205" spans="2:17" ht="25" customHeight="1">
      <c r="B205" s="447" t="s">
        <v>177</v>
      </c>
      <c r="C205" s="15"/>
      <c r="D205" s="15"/>
      <c r="E205" s="15"/>
      <c r="F205" s="212"/>
      <c r="G205" s="212"/>
      <c r="H205" s="212"/>
      <c r="I205" s="212"/>
      <c r="J205" s="212"/>
      <c r="K205" s="353"/>
      <c r="L205" s="1103"/>
      <c r="M205" s="1103"/>
      <c r="N205" s="201"/>
      <c r="O205" s="219"/>
      <c r="P205" s="192"/>
      <c r="Q205" s="192"/>
    </row>
    <row r="206" spans="2:17" ht="25" customHeight="1">
      <c r="B206" s="510" t="s">
        <v>9</v>
      </c>
      <c r="C206" s="337" t="s">
        <v>178</v>
      </c>
      <c r="D206" s="337"/>
      <c r="E206" s="26" t="s">
        <v>64</v>
      </c>
      <c r="F206" s="284"/>
      <c r="G206" s="337"/>
      <c r="H206" s="337"/>
      <c r="I206" s="337"/>
      <c r="J206" s="337"/>
      <c r="K206" s="337" t="s">
        <v>103</v>
      </c>
      <c r="L206" s="1108" t="s">
        <v>179</v>
      </c>
      <c r="M206" s="1108"/>
      <c r="N206" s="201"/>
      <c r="O206" s="219"/>
      <c r="P206" s="192"/>
      <c r="Q206" s="192"/>
    </row>
    <row r="207" spans="2:17" ht="25" customHeight="1">
      <c r="B207" s="141" t="s">
        <v>180</v>
      </c>
      <c r="C207" s="342" t="s">
        <v>181</v>
      </c>
      <c r="D207" s="342"/>
      <c r="E207" s="32" t="s">
        <v>182</v>
      </c>
      <c r="F207" s="340"/>
      <c r="G207" s="342"/>
      <c r="H207" s="342"/>
      <c r="I207" s="342"/>
      <c r="J207" s="342"/>
      <c r="K207" s="342" t="s">
        <v>183</v>
      </c>
      <c r="L207" s="1162" t="s">
        <v>162</v>
      </c>
      <c r="M207" s="1162"/>
      <c r="N207" s="201"/>
      <c r="O207" s="219"/>
      <c r="P207" s="192"/>
      <c r="Q207" s="192"/>
    </row>
    <row r="208" spans="2:17" ht="25" customHeight="1">
      <c r="B208" s="144" t="s">
        <v>184</v>
      </c>
      <c r="C208" s="348" t="s">
        <v>181</v>
      </c>
      <c r="D208" s="348"/>
      <c r="E208" s="40" t="s">
        <v>185</v>
      </c>
      <c r="F208" s="343"/>
      <c r="G208" s="348"/>
      <c r="H208" s="348"/>
      <c r="I208" s="348"/>
      <c r="J208" s="348"/>
      <c r="K208" s="348" t="s">
        <v>183</v>
      </c>
      <c r="L208" s="1163" t="s">
        <v>162</v>
      </c>
      <c r="M208" s="1163"/>
      <c r="N208" s="201"/>
      <c r="O208" s="219"/>
      <c r="P208" s="192"/>
      <c r="Q208" s="192"/>
    </row>
    <row r="209" spans="1:17" ht="25" customHeight="1">
      <c r="B209" s="141" t="s">
        <v>186</v>
      </c>
      <c r="C209" s="342" t="s">
        <v>187</v>
      </c>
      <c r="D209" s="342"/>
      <c r="E209" s="32" t="s">
        <v>188</v>
      </c>
      <c r="F209" s="340"/>
      <c r="G209" s="342"/>
      <c r="H209" s="342"/>
      <c r="I209" s="342"/>
      <c r="J209" s="342"/>
      <c r="K209" s="342" t="s">
        <v>183</v>
      </c>
      <c r="L209" s="1164" t="s">
        <v>162</v>
      </c>
      <c r="M209" s="1164"/>
      <c r="N209" s="201"/>
      <c r="O209" s="219"/>
      <c r="P209" s="192"/>
      <c r="Q209" s="192"/>
    </row>
    <row r="210" spans="1:17" ht="25" customHeight="1">
      <c r="B210" s="144" t="s">
        <v>189</v>
      </c>
      <c r="C210" s="348" t="s">
        <v>187</v>
      </c>
      <c r="D210" s="348"/>
      <c r="E210" s="40" t="s">
        <v>190</v>
      </c>
      <c r="F210" s="343"/>
      <c r="G210" s="348"/>
      <c r="H210" s="348"/>
      <c r="I210" s="348"/>
      <c r="J210" s="348"/>
      <c r="K210" s="348" t="s">
        <v>183</v>
      </c>
      <c r="L210" s="1165" t="s">
        <v>162</v>
      </c>
      <c r="M210" s="1165"/>
      <c r="N210" s="201"/>
      <c r="O210" s="219"/>
      <c r="P210" s="192"/>
      <c r="Q210" s="192"/>
    </row>
    <row r="211" spans="1:17" ht="25" customHeight="1">
      <c r="B211" s="109"/>
      <c r="C211" s="106"/>
      <c r="D211" s="106"/>
      <c r="E211" s="108"/>
      <c r="F211" s="356"/>
      <c r="G211" s="357"/>
      <c r="H211" s="357"/>
      <c r="I211" s="359"/>
      <c r="J211" s="359"/>
      <c r="K211" s="359"/>
      <c r="L211" s="359"/>
      <c r="M211" s="635"/>
      <c r="N211" s="201"/>
      <c r="O211" s="219"/>
      <c r="P211" s="192"/>
      <c r="Q211" s="192"/>
    </row>
    <row r="212" spans="1:17" ht="25" customHeight="1">
      <c r="B212" s="448"/>
      <c r="C212" s="28"/>
      <c r="D212" s="28"/>
      <c r="E212" s="28"/>
      <c r="F212" s="324"/>
      <c r="G212" s="325"/>
      <c r="H212" s="301"/>
      <c r="I212" s="301"/>
      <c r="J212" s="301"/>
      <c r="K212" s="326"/>
      <c r="L212" s="304"/>
      <c r="M212" s="631"/>
      <c r="N212" s="201"/>
      <c r="O212" s="219"/>
      <c r="P212" s="192"/>
      <c r="Q212" s="192"/>
    </row>
    <row r="213" spans="1:17" ht="25" customHeight="1">
      <c r="A213" s="362"/>
      <c r="B213" s="68"/>
      <c r="C213" s="62"/>
      <c r="D213" s="62"/>
      <c r="E213" s="62"/>
      <c r="F213" s="363"/>
      <c r="G213" s="364"/>
      <c r="H213" s="365"/>
      <c r="I213" s="365"/>
      <c r="J213" s="365"/>
      <c r="K213" s="366"/>
      <c r="L213" s="367"/>
      <c r="M213" s="636"/>
      <c r="N213" s="368"/>
      <c r="O213" s="219"/>
      <c r="P213" s="192"/>
      <c r="Q213" s="192"/>
    </row>
    <row r="214" spans="1:17" s="187" customFormat="1" ht="25" customHeight="1">
      <c r="A214" s="169"/>
      <c r="B214" s="56"/>
      <c r="C214" s="56"/>
      <c r="D214" s="56"/>
      <c r="E214" s="56"/>
      <c r="F214" s="369"/>
      <c r="G214" s="370"/>
      <c r="H214" s="371"/>
      <c r="I214" s="371"/>
      <c r="J214" s="372"/>
      <c r="K214" s="373"/>
      <c r="L214" s="373"/>
      <c r="M214" s="637"/>
      <c r="N214" s="169"/>
      <c r="O214" s="191"/>
    </row>
    <row r="215" spans="1:17" s="187" customFormat="1" ht="25" customHeight="1">
      <c r="A215" s="169"/>
      <c r="B215" s="56"/>
      <c r="C215" s="56"/>
      <c r="D215" s="56"/>
      <c r="E215" s="56"/>
      <c r="F215" s="369"/>
      <c r="G215" s="370"/>
      <c r="H215" s="371"/>
      <c r="I215" s="371"/>
      <c r="J215" s="372"/>
      <c r="K215" s="373"/>
      <c r="L215" s="373"/>
      <c r="M215" s="637"/>
      <c r="N215" s="169"/>
      <c r="O215" s="191"/>
    </row>
    <row r="216" spans="1:17" s="187" customFormat="1" ht="25" customHeight="1">
      <c r="A216" s="169"/>
      <c r="B216" s="56"/>
      <c r="C216" s="56"/>
      <c r="D216" s="56"/>
      <c r="E216" s="56"/>
      <c r="F216" s="369"/>
      <c r="G216" s="370"/>
      <c r="H216" s="371"/>
      <c r="I216" s="371"/>
      <c r="J216" s="372"/>
      <c r="K216" s="373"/>
      <c r="L216" s="373"/>
      <c r="M216" s="637"/>
      <c r="N216" s="169"/>
      <c r="O216" s="191"/>
    </row>
    <row r="217" spans="1:17" s="187" customFormat="1" ht="25" customHeight="1">
      <c r="A217" s="169"/>
      <c r="B217" s="1156" t="s">
        <v>191</v>
      </c>
      <c r="C217" s="1156"/>
      <c r="D217" s="1156"/>
      <c r="E217" s="1156"/>
      <c r="F217" s="1156"/>
      <c r="G217" s="1156"/>
      <c r="H217" s="172"/>
      <c r="I217" s="169"/>
      <c r="J217" s="173"/>
      <c r="K217" s="169"/>
      <c r="L217" s="174"/>
      <c r="M217" s="615"/>
      <c r="N217" s="169"/>
      <c r="O217" s="191"/>
    </row>
    <row r="218" spans="1:17" s="187" customFormat="1" ht="25" customHeight="1">
      <c r="A218" s="169"/>
      <c r="B218" s="1156"/>
      <c r="C218" s="1156"/>
      <c r="D218" s="1156"/>
      <c r="E218" s="1156"/>
      <c r="F218" s="1156"/>
      <c r="G218" s="1156"/>
      <c r="H218" s="172"/>
      <c r="I218" s="169"/>
      <c r="J218" s="173"/>
      <c r="K218" s="169"/>
      <c r="L218" s="174"/>
      <c r="M218" s="615"/>
      <c r="N218" s="169"/>
      <c r="O218" s="191"/>
    </row>
    <row r="219" spans="1:17" s="187" customFormat="1" ht="25" customHeight="1">
      <c r="A219" s="169"/>
      <c r="B219" s="1156"/>
      <c r="C219" s="1156"/>
      <c r="D219" s="1156"/>
      <c r="E219" s="1156"/>
      <c r="F219" s="1156"/>
      <c r="G219" s="1156"/>
      <c r="H219" s="172"/>
      <c r="I219" s="169"/>
      <c r="J219" s="173"/>
      <c r="K219" s="169"/>
      <c r="L219" s="174"/>
      <c r="M219" s="615"/>
      <c r="N219" s="169"/>
      <c r="O219" s="191"/>
    </row>
    <row r="220" spans="1:17" s="187" customFormat="1" ht="25" customHeight="1">
      <c r="A220" s="169"/>
      <c r="B220" s="1157" t="s">
        <v>6</v>
      </c>
      <c r="C220" s="1157"/>
      <c r="D220" s="1157"/>
      <c r="E220" s="1157"/>
      <c r="F220" s="1157"/>
      <c r="G220" s="169"/>
      <c r="H220" s="172"/>
      <c r="I220" s="169"/>
      <c r="J220" s="173"/>
      <c r="K220" s="169"/>
      <c r="L220" s="174"/>
      <c r="M220" s="615"/>
      <c r="N220" s="374"/>
      <c r="O220" s="199"/>
    </row>
    <row r="221" spans="1:17" s="187" customFormat="1" ht="25" customHeight="1">
      <c r="A221" s="169"/>
      <c r="B221" s="64"/>
      <c r="C221" s="64"/>
      <c r="D221" s="64"/>
      <c r="E221" s="64"/>
      <c r="F221" s="170"/>
      <c r="G221" s="169"/>
      <c r="H221" s="172"/>
      <c r="I221" s="169"/>
      <c r="J221" s="173"/>
      <c r="K221" s="169"/>
      <c r="L221" s="174"/>
      <c r="M221" s="615"/>
      <c r="N221" s="374"/>
      <c r="O221" s="199"/>
    </row>
    <row r="222" spans="1:17" s="187" customFormat="1" ht="25" customHeight="1">
      <c r="A222" s="169"/>
      <c r="B222" s="453" t="s">
        <v>192</v>
      </c>
      <c r="C222" s="64"/>
      <c r="D222" s="64"/>
      <c r="E222" s="64"/>
      <c r="F222" s="170"/>
      <c r="G222" s="169"/>
      <c r="H222" s="172"/>
      <c r="I222" s="169"/>
      <c r="J222" s="173"/>
      <c r="K222" s="169"/>
      <c r="L222" s="174"/>
      <c r="M222" s="615"/>
      <c r="N222" s="374"/>
      <c r="O222" s="199"/>
    </row>
    <row r="223" spans="1:17" s="187" customFormat="1" ht="25" customHeight="1">
      <c r="A223" s="169"/>
      <c r="B223" s="449" t="s">
        <v>2</v>
      </c>
      <c r="C223" s="64"/>
      <c r="D223" s="64"/>
      <c r="E223" s="64"/>
      <c r="F223" s="170"/>
      <c r="G223" s="169"/>
      <c r="H223" s="172"/>
      <c r="I223" s="169"/>
      <c r="J223" s="173"/>
      <c r="K223" s="169"/>
      <c r="L223" s="174"/>
      <c r="M223" s="615"/>
      <c r="N223" s="374"/>
      <c r="O223" s="199"/>
    </row>
    <row r="224" spans="1:17" s="187" customFormat="1" ht="25" customHeight="1">
      <c r="A224" s="169"/>
      <c r="B224" s="71" t="s">
        <v>193</v>
      </c>
      <c r="C224" s="69"/>
      <c r="D224" s="69"/>
      <c r="E224" s="69"/>
      <c r="F224" s="375"/>
      <c r="G224" s="374"/>
      <c r="H224" s="376"/>
      <c r="I224" s="374"/>
      <c r="J224" s="378"/>
      <c r="K224" s="374"/>
      <c r="L224" s="379"/>
      <c r="M224" s="638"/>
      <c r="N224" s="374"/>
      <c r="O224" s="199"/>
    </row>
    <row r="225" spans="1:22" s="261" customFormat="1" ht="25" customHeight="1">
      <c r="A225" s="380"/>
      <c r="B225" s="142"/>
      <c r="C225" s="142"/>
      <c r="D225" s="142"/>
      <c r="E225" s="142"/>
      <c r="F225" s="587"/>
      <c r="G225" s="374"/>
      <c r="H225" s="376"/>
      <c r="I225" s="374"/>
      <c r="J225" s="378"/>
      <c r="K225" s="374"/>
      <c r="L225" s="379"/>
      <c r="M225" s="638"/>
      <c r="N225" s="380"/>
      <c r="O225" s="316"/>
      <c r="P225" s="381"/>
      <c r="Q225" s="287"/>
      <c r="R225" s="287"/>
      <c r="S225" s="287"/>
      <c r="T225" s="287"/>
      <c r="U225" s="287"/>
      <c r="V225" s="287"/>
    </row>
    <row r="226" spans="1:22" ht="25" customHeight="1">
      <c r="A226" s="382"/>
      <c r="B226" s="57" t="s">
        <v>194</v>
      </c>
      <c r="C226" s="58"/>
      <c r="D226" s="59"/>
      <c r="E226" s="58"/>
      <c r="F226" s="384"/>
      <c r="G226" s="384"/>
      <c r="H226" s="384"/>
      <c r="I226" s="384"/>
      <c r="J226" s="383"/>
      <c r="K226" s="383"/>
      <c r="L226" s="384" t="s">
        <v>195</v>
      </c>
      <c r="M226" s="639"/>
      <c r="N226" s="386"/>
      <c r="O226" s="205"/>
      <c r="P226" s="336"/>
    </row>
    <row r="227" spans="1:22" ht="25" customHeight="1">
      <c r="A227" s="382"/>
      <c r="B227" s="597" t="s">
        <v>196</v>
      </c>
      <c r="C227" s="649" t="str">
        <f>SUM(C38+C67)&amp;" vCPU"</f>
        <v>0 vCPU</v>
      </c>
      <c r="D227" s="649" t="str">
        <f>SUM(D38+D67)&amp;" GB RAM"</f>
        <v>0 GB RAM</v>
      </c>
      <c r="E227" s="649" t="str">
        <f>SUM(E38)&amp;" GB  Disk"</f>
        <v>0 GB  Disk</v>
      </c>
      <c r="F227" s="1158" t="str">
        <f>SUM(E67)&amp;" GB NVME-Disk"</f>
        <v>0 GB NVME-Disk</v>
      </c>
      <c r="G227" s="1158"/>
      <c r="H227" s="388"/>
      <c r="I227" s="388"/>
      <c r="J227" s="389"/>
      <c r="K227" s="389"/>
      <c r="L227" s="450">
        <f>L76+L84+K67+K38+K91</f>
        <v>0</v>
      </c>
      <c r="M227" s="640"/>
      <c r="N227" s="382"/>
      <c r="O227" s="205"/>
      <c r="P227" s="336"/>
    </row>
    <row r="228" spans="1:22" ht="25" customHeight="1">
      <c r="A228" s="382"/>
      <c r="B228" s="598" t="s">
        <v>197</v>
      </c>
      <c r="C228" s="75"/>
      <c r="D228" s="74"/>
      <c r="E228" s="75"/>
      <c r="F228" s="391"/>
      <c r="G228" s="392"/>
      <c r="H228" s="392"/>
      <c r="I228" s="392"/>
      <c r="J228" s="393"/>
      <c r="K228" s="393"/>
      <c r="L228" s="451" t="e">
        <f>#REF!</f>
        <v>#REF!</v>
      </c>
      <c r="M228" s="640"/>
      <c r="N228" s="382"/>
      <c r="O228" s="205"/>
      <c r="P228" s="336"/>
    </row>
    <row r="229" spans="1:22" ht="25" customHeight="1">
      <c r="A229" s="382"/>
      <c r="B229" s="143" t="s">
        <v>198</v>
      </c>
      <c r="C229" s="143"/>
      <c r="D229" s="74"/>
      <c r="E229" s="75"/>
      <c r="F229" s="391"/>
      <c r="G229" s="392"/>
      <c r="H229" s="392"/>
      <c r="I229" s="392"/>
      <c r="J229" s="393"/>
      <c r="K229" s="393"/>
      <c r="L229" s="451">
        <f>M133</f>
        <v>0</v>
      </c>
      <c r="M229" s="640"/>
      <c r="N229" s="382"/>
      <c r="O229" s="205"/>
      <c r="P229" s="336"/>
    </row>
    <row r="230" spans="1:22" s="397" customFormat="1" ht="25" customHeight="1">
      <c r="A230" s="395"/>
      <c r="B230" s="517" t="s">
        <v>411</v>
      </c>
      <c r="C230" s="517"/>
      <c r="D230" s="35"/>
      <c r="E230" s="36"/>
      <c r="F230" s="333"/>
      <c r="G230" s="592"/>
      <c r="H230" s="592"/>
      <c r="I230" s="592"/>
      <c r="J230" s="319"/>
      <c r="K230" s="319"/>
      <c r="L230" s="445" t="e">
        <f>M76+M84+#REF!+#REF!</f>
        <v>#REF!</v>
      </c>
      <c r="M230" s="640"/>
      <c r="N230" s="395"/>
      <c r="O230" s="396"/>
    </row>
    <row r="231" spans="1:22" ht="25" customHeight="1">
      <c r="A231" s="382"/>
      <c r="B231" s="452" t="s">
        <v>30</v>
      </c>
      <c r="C231" s="61"/>
      <c r="D231" s="61"/>
      <c r="E231" s="61"/>
      <c r="F231" s="398"/>
      <c r="G231" s="399"/>
      <c r="H231" s="399"/>
      <c r="I231" s="399"/>
      <c r="J231" s="613"/>
      <c r="K231" s="613"/>
      <c r="L231" s="613" t="e">
        <f>SUM(L227:L230)</f>
        <v>#REF!</v>
      </c>
      <c r="M231" s="641"/>
      <c r="N231" s="382"/>
      <c r="O231" s="205"/>
    </row>
    <row r="232" spans="1:22" ht="25" customHeight="1">
      <c r="A232" s="382"/>
      <c r="B232" s="60"/>
      <c r="C232" s="61"/>
      <c r="D232" s="61"/>
      <c r="E232" s="61"/>
      <c r="F232" s="398"/>
      <c r="G232" s="399"/>
      <c r="H232" s="399"/>
      <c r="I232" s="399"/>
      <c r="J232" s="400"/>
      <c r="K232" s="400"/>
      <c r="L232" s="400"/>
      <c r="M232" s="641"/>
      <c r="N232" s="382"/>
      <c r="O232" s="205"/>
    </row>
    <row r="233" spans="1:22" ht="25" customHeight="1">
      <c r="A233" s="382"/>
      <c r="B233" s="32"/>
      <c r="C233" s="32"/>
      <c r="D233" s="38"/>
      <c r="E233" s="39"/>
      <c r="F233" s="341"/>
      <c r="G233" s="590"/>
      <c r="H233" s="340"/>
      <c r="I233" s="291"/>
      <c r="J233" s="291"/>
      <c r="K233" s="402"/>
      <c r="L233" s="293"/>
      <c r="M233" s="640"/>
      <c r="N233" s="382"/>
      <c r="O233" s="205"/>
    </row>
    <row r="234" spans="1:22" ht="25" customHeight="1">
      <c r="A234" s="403"/>
      <c r="B234" s="44"/>
      <c r="C234" s="44"/>
      <c r="D234" s="35"/>
      <c r="E234" s="36"/>
      <c r="F234" s="405"/>
      <c r="G234" s="592"/>
      <c r="H234" s="404"/>
      <c r="I234" s="319"/>
      <c r="J234" s="319"/>
      <c r="K234" s="407"/>
      <c r="L234" s="321"/>
      <c r="M234" s="642"/>
      <c r="N234" s="408"/>
      <c r="O234" s="205"/>
    </row>
    <row r="235" spans="1:22" s="409" customFormat="1" ht="25" customHeight="1">
      <c r="B235" s="112"/>
      <c r="C235" s="112"/>
      <c r="D235" s="113"/>
      <c r="E235" s="114"/>
      <c r="F235" s="411"/>
      <c r="G235" s="412"/>
      <c r="H235" s="410"/>
      <c r="I235" s="413"/>
      <c r="J235" s="413"/>
      <c r="K235" s="415"/>
      <c r="L235" s="416"/>
      <c r="M235" s="643"/>
      <c r="N235" s="417"/>
    </row>
    <row r="236" spans="1:22" s="409" customFormat="1" ht="25" customHeight="1">
      <c r="B236" s="112"/>
      <c r="C236" s="112"/>
      <c r="D236" s="112"/>
      <c r="E236" s="112"/>
      <c r="F236" s="418"/>
      <c r="G236" s="419"/>
      <c r="H236" s="420"/>
      <c r="I236" s="420"/>
      <c r="J236" s="420"/>
      <c r="K236" s="421"/>
      <c r="L236" s="416"/>
      <c r="M236" s="643"/>
      <c r="N236" s="416"/>
      <c r="O236" s="417"/>
    </row>
    <row r="237" spans="1:22" s="409" customFormat="1" ht="25" customHeight="1">
      <c r="B237" s="112"/>
      <c r="C237" s="112"/>
      <c r="D237" s="112"/>
      <c r="E237" s="112"/>
      <c r="F237" s="418"/>
      <c r="G237" s="419"/>
      <c r="H237" s="420"/>
      <c r="I237" s="420"/>
      <c r="J237" s="420"/>
      <c r="K237" s="421"/>
      <c r="L237" s="416"/>
      <c r="M237" s="643"/>
      <c r="N237" s="416"/>
      <c r="O237" s="417"/>
    </row>
    <row r="238" spans="1:22" s="409" customFormat="1" ht="25" customHeight="1">
      <c r="B238" s="112"/>
      <c r="C238" s="112"/>
      <c r="D238" s="112"/>
      <c r="E238" s="112"/>
      <c r="F238" s="418"/>
      <c r="G238" s="419"/>
      <c r="H238" s="420"/>
      <c r="I238" s="420"/>
      <c r="J238" s="420"/>
      <c r="K238" s="421"/>
      <c r="L238" s="416"/>
      <c r="M238" s="643"/>
      <c r="N238" s="416"/>
      <c r="O238" s="417"/>
    </row>
    <row r="239" spans="1:22" s="409" customFormat="1" ht="25" customHeight="1">
      <c r="B239" s="112"/>
      <c r="C239" s="112"/>
      <c r="D239" s="112"/>
      <c r="E239" s="112"/>
      <c r="F239" s="418"/>
      <c r="G239" s="419"/>
      <c r="H239" s="420"/>
      <c r="I239" s="420"/>
      <c r="J239" s="420"/>
      <c r="K239" s="421"/>
      <c r="L239" s="416"/>
      <c r="M239" s="643"/>
      <c r="N239" s="416"/>
      <c r="O239" s="417"/>
    </row>
    <row r="240" spans="1:22" s="409" customFormat="1" ht="25" customHeight="1">
      <c r="B240" s="112"/>
      <c r="C240" s="112"/>
      <c r="D240" s="112"/>
      <c r="E240" s="112"/>
      <c r="F240" s="418"/>
      <c r="G240" s="419"/>
      <c r="H240" s="420"/>
      <c r="I240" s="420"/>
      <c r="J240" s="420"/>
      <c r="K240" s="421"/>
      <c r="L240" s="416"/>
      <c r="M240" s="643"/>
      <c r="N240" s="416"/>
      <c r="O240" s="417"/>
    </row>
    <row r="241" spans="1:23" s="409" customFormat="1" ht="25" customHeight="1">
      <c r="B241" s="112"/>
      <c r="C241" s="112"/>
      <c r="D241" s="112"/>
      <c r="E241" s="112"/>
      <c r="F241" s="418"/>
      <c r="G241" s="419"/>
      <c r="H241" s="420"/>
      <c r="I241" s="420"/>
      <c r="J241" s="420"/>
      <c r="K241" s="421"/>
      <c r="L241" s="416"/>
      <c r="M241" s="643"/>
      <c r="N241" s="416"/>
      <c r="O241" s="417"/>
    </row>
    <row r="242" spans="1:23" s="409" customFormat="1" ht="25" customHeight="1">
      <c r="B242" s="112"/>
      <c r="C242" s="112"/>
      <c r="D242" s="112"/>
      <c r="E242" s="112"/>
      <c r="F242" s="418"/>
      <c r="G242" s="419"/>
      <c r="H242" s="420"/>
      <c r="I242" s="420"/>
      <c r="J242" s="420"/>
      <c r="K242" s="421"/>
      <c r="L242" s="416"/>
      <c r="M242" s="643"/>
      <c r="N242" s="416"/>
      <c r="O242" s="417"/>
    </row>
    <row r="243" spans="1:23" s="409" customFormat="1" ht="25" customHeight="1">
      <c r="B243" s="112"/>
      <c r="C243" s="112"/>
      <c r="D243" s="112"/>
      <c r="E243" s="112"/>
      <c r="F243" s="418"/>
      <c r="G243" s="419"/>
      <c r="H243" s="420"/>
      <c r="I243" s="420"/>
      <c r="J243" s="420"/>
      <c r="K243" s="421"/>
      <c r="L243" s="416"/>
      <c r="M243" s="643"/>
      <c r="N243" s="416"/>
      <c r="O243" s="417"/>
    </row>
    <row r="244" spans="1:23" s="409" customFormat="1" ht="25" customHeight="1">
      <c r="B244" s="112"/>
      <c r="C244" s="112"/>
      <c r="D244" s="112"/>
      <c r="E244" s="112"/>
      <c r="F244" s="418"/>
      <c r="G244" s="419"/>
      <c r="H244" s="420"/>
      <c r="I244" s="420"/>
      <c r="J244" s="420"/>
      <c r="K244" s="421"/>
      <c r="L244" s="416"/>
      <c r="M244" s="643"/>
      <c r="N244" s="416"/>
      <c r="O244" s="417"/>
    </row>
    <row r="245" spans="1:23" s="422" customFormat="1" ht="25" customHeight="1">
      <c r="A245" s="409"/>
      <c r="B245" s="112"/>
      <c r="C245" s="112"/>
      <c r="D245" s="112"/>
      <c r="E245" s="112"/>
      <c r="F245" s="418"/>
      <c r="G245" s="419"/>
      <c r="H245" s="420"/>
      <c r="I245" s="420"/>
      <c r="J245" s="420"/>
      <c r="K245" s="421"/>
      <c r="L245" s="416"/>
      <c r="M245" s="643"/>
      <c r="N245" s="416"/>
      <c r="O245" s="417"/>
      <c r="P245" s="409"/>
      <c r="Q245" s="409"/>
      <c r="R245" s="409"/>
      <c r="S245" s="409"/>
      <c r="T245" s="409"/>
      <c r="U245" s="409"/>
      <c r="V245" s="409"/>
      <c r="W245" s="409"/>
    </row>
    <row r="246" spans="1:23" s="409" customFormat="1" ht="25" customHeight="1">
      <c r="B246" s="112"/>
      <c r="C246" s="112"/>
      <c r="D246" s="112"/>
      <c r="E246" s="112"/>
      <c r="F246" s="418"/>
      <c r="G246" s="419"/>
      <c r="H246" s="420"/>
      <c r="I246" s="420"/>
      <c r="J246" s="420"/>
      <c r="K246" s="421"/>
      <c r="L246" s="416"/>
      <c r="M246" s="643"/>
      <c r="N246" s="416"/>
      <c r="O246" s="417"/>
    </row>
    <row r="247" spans="1:23" s="409" customFormat="1" ht="25" customHeight="1">
      <c r="B247" s="112"/>
      <c r="C247" s="112"/>
      <c r="D247" s="112"/>
      <c r="E247" s="112"/>
      <c r="F247" s="418"/>
      <c r="G247" s="419"/>
      <c r="H247" s="420"/>
      <c r="I247" s="420"/>
      <c r="J247" s="420"/>
      <c r="K247" s="421"/>
      <c r="L247" s="416"/>
      <c r="M247" s="643"/>
      <c r="N247" s="416"/>
      <c r="O247" s="417"/>
    </row>
    <row r="248" spans="1:23" s="409" customFormat="1" ht="25" customHeight="1">
      <c r="B248" s="112"/>
      <c r="C248" s="112"/>
      <c r="D248" s="112"/>
      <c r="E248" s="112"/>
      <c r="F248" s="418"/>
      <c r="G248" s="419"/>
      <c r="H248" s="420"/>
      <c r="I248" s="420"/>
      <c r="J248" s="420"/>
      <c r="K248" s="421"/>
      <c r="L248" s="416"/>
      <c r="M248" s="643"/>
      <c r="N248" s="416"/>
      <c r="O248" s="417"/>
    </row>
    <row r="249" spans="1:23" s="409" customFormat="1" ht="25" customHeight="1">
      <c r="B249" s="112"/>
      <c r="C249" s="112"/>
      <c r="D249" s="112"/>
      <c r="E249" s="112"/>
      <c r="F249" s="418"/>
      <c r="G249" s="419"/>
      <c r="H249" s="420"/>
      <c r="I249" s="420"/>
      <c r="J249" s="420"/>
      <c r="K249" s="421"/>
      <c r="L249" s="416"/>
      <c r="M249" s="643"/>
      <c r="N249" s="416"/>
      <c r="O249" s="417"/>
    </row>
    <row r="250" spans="1:23" s="409" customFormat="1" ht="25" customHeight="1">
      <c r="B250" s="112"/>
      <c r="C250" s="112"/>
      <c r="D250" s="112"/>
      <c r="E250" s="112"/>
      <c r="F250" s="418"/>
      <c r="G250" s="419"/>
      <c r="H250" s="420"/>
      <c r="I250" s="420"/>
      <c r="J250" s="420"/>
      <c r="K250" s="421"/>
      <c r="L250" s="416"/>
      <c r="M250" s="643"/>
      <c r="N250" s="416"/>
      <c r="O250" s="417"/>
    </row>
    <row r="251" spans="1:23" s="409" customFormat="1" ht="25" customHeight="1">
      <c r="B251" s="112"/>
      <c r="C251" s="112"/>
      <c r="D251" s="112"/>
      <c r="E251" s="112"/>
      <c r="F251" s="418"/>
      <c r="G251" s="419"/>
      <c r="H251" s="420"/>
      <c r="I251" s="420"/>
      <c r="J251" s="420"/>
      <c r="K251" s="421"/>
      <c r="L251" s="416"/>
      <c r="M251" s="643"/>
      <c r="N251" s="416"/>
      <c r="O251" s="417"/>
    </row>
    <row r="252" spans="1:23" s="409" customFormat="1" ht="25" customHeight="1">
      <c r="B252" s="112"/>
      <c r="C252" s="112"/>
      <c r="D252" s="112"/>
      <c r="E252" s="112"/>
      <c r="F252" s="418"/>
      <c r="G252" s="419"/>
      <c r="H252" s="420"/>
      <c r="I252" s="420"/>
      <c r="J252" s="420"/>
      <c r="K252" s="421"/>
      <c r="L252" s="416"/>
      <c r="M252" s="643"/>
      <c r="N252" s="416"/>
      <c r="O252" s="417"/>
    </row>
    <row r="253" spans="1:23" s="409" customFormat="1" ht="25" customHeight="1">
      <c r="B253" s="112"/>
      <c r="C253" s="112"/>
      <c r="D253" s="112"/>
      <c r="E253" s="112"/>
      <c r="F253" s="418"/>
      <c r="G253" s="419"/>
      <c r="H253" s="420"/>
      <c r="I253" s="420"/>
      <c r="J253" s="420"/>
      <c r="K253" s="421"/>
      <c r="L253" s="416"/>
      <c r="M253" s="643"/>
      <c r="N253" s="416"/>
      <c r="O253" s="417"/>
    </row>
    <row r="254" spans="1:23" s="409" customFormat="1" ht="25" customHeight="1">
      <c r="B254" s="112"/>
      <c r="C254" s="112"/>
      <c r="D254" s="112"/>
      <c r="E254" s="112"/>
      <c r="F254" s="418"/>
      <c r="G254" s="419"/>
      <c r="H254" s="420"/>
      <c r="I254" s="420"/>
      <c r="J254" s="420"/>
      <c r="K254" s="421"/>
      <c r="L254" s="416"/>
      <c r="M254" s="643"/>
      <c r="N254" s="416"/>
      <c r="O254" s="417"/>
    </row>
    <row r="255" spans="1:23" s="409" customFormat="1" ht="25" customHeight="1">
      <c r="B255" s="112"/>
      <c r="C255" s="112"/>
      <c r="D255" s="112"/>
      <c r="E255" s="112"/>
      <c r="F255" s="418"/>
      <c r="G255" s="419"/>
      <c r="H255" s="420"/>
      <c r="I255" s="420"/>
      <c r="J255" s="420"/>
      <c r="K255" s="421"/>
      <c r="L255" s="416"/>
      <c r="M255" s="643"/>
      <c r="N255" s="416"/>
      <c r="O255" s="417"/>
    </row>
    <row r="256" spans="1:23" s="409" customFormat="1" ht="25" customHeight="1">
      <c r="B256" s="112"/>
      <c r="C256" s="112"/>
      <c r="D256" s="112"/>
      <c r="E256" s="112"/>
      <c r="F256" s="418"/>
      <c r="G256" s="419"/>
      <c r="H256" s="420"/>
      <c r="I256" s="420"/>
      <c r="J256" s="420"/>
      <c r="K256" s="421"/>
      <c r="L256" s="416"/>
      <c r="M256" s="643"/>
      <c r="N256" s="416"/>
      <c r="O256" s="417"/>
    </row>
    <row r="257" spans="2:15" s="409" customFormat="1" ht="25" customHeight="1">
      <c r="B257" s="112"/>
      <c r="C257" s="112"/>
      <c r="D257" s="112"/>
      <c r="E257" s="112"/>
      <c r="F257" s="418"/>
      <c r="G257" s="419"/>
      <c r="H257" s="420"/>
      <c r="I257" s="420"/>
      <c r="J257" s="420"/>
      <c r="K257" s="421"/>
      <c r="L257" s="416"/>
      <c r="M257" s="643"/>
      <c r="N257" s="416"/>
      <c r="O257" s="417"/>
    </row>
    <row r="258" spans="2:15" s="409" customFormat="1" ht="25" customHeight="1">
      <c r="B258" s="112"/>
      <c r="C258" s="112"/>
      <c r="D258" s="112"/>
      <c r="E258" s="112"/>
      <c r="F258" s="418"/>
      <c r="G258" s="419"/>
      <c r="H258" s="420"/>
      <c r="I258" s="420"/>
      <c r="J258" s="420"/>
      <c r="K258" s="421"/>
      <c r="L258" s="416"/>
      <c r="M258" s="643"/>
      <c r="N258" s="416"/>
      <c r="O258" s="417"/>
    </row>
    <row r="259" spans="2:15" s="409" customFormat="1" ht="25" customHeight="1">
      <c r="B259" s="112"/>
      <c r="C259" s="112"/>
      <c r="D259" s="112"/>
      <c r="E259" s="112"/>
      <c r="F259" s="418"/>
      <c r="G259" s="419"/>
      <c r="H259" s="420"/>
      <c r="I259" s="420"/>
      <c r="J259" s="420"/>
      <c r="K259" s="421"/>
      <c r="L259" s="416"/>
      <c r="M259" s="643"/>
      <c r="N259" s="416"/>
      <c r="O259" s="417"/>
    </row>
    <row r="260" spans="2:15" s="409" customFormat="1" ht="25" customHeight="1">
      <c r="B260" s="112"/>
      <c r="C260" s="112"/>
      <c r="D260" s="112"/>
      <c r="E260" s="112"/>
      <c r="F260" s="418"/>
      <c r="G260" s="419"/>
      <c r="H260" s="420"/>
      <c r="I260" s="420"/>
      <c r="J260" s="420"/>
      <c r="K260" s="421"/>
      <c r="L260" s="416"/>
      <c r="M260" s="643"/>
      <c r="N260" s="416"/>
      <c r="O260" s="417"/>
    </row>
    <row r="261" spans="2:15" s="409" customFormat="1" ht="25" customHeight="1">
      <c r="B261" s="112"/>
      <c r="C261" s="112"/>
      <c r="D261" s="112"/>
      <c r="E261" s="112"/>
      <c r="F261" s="418"/>
      <c r="G261" s="419"/>
      <c r="H261" s="420"/>
      <c r="I261" s="420"/>
      <c r="J261" s="420"/>
      <c r="K261" s="421"/>
      <c r="L261" s="416"/>
      <c r="M261" s="643"/>
      <c r="N261" s="416"/>
      <c r="O261" s="417"/>
    </row>
    <row r="262" spans="2:15" s="409" customFormat="1" ht="25" customHeight="1">
      <c r="B262" s="112"/>
      <c r="C262" s="112"/>
      <c r="D262" s="112"/>
      <c r="E262" s="112"/>
      <c r="F262" s="418"/>
      <c r="G262" s="419"/>
      <c r="H262" s="420"/>
      <c r="I262" s="420"/>
      <c r="J262" s="420"/>
      <c r="K262" s="421"/>
      <c r="L262" s="416"/>
      <c r="M262" s="643"/>
      <c r="N262" s="416"/>
      <c r="O262" s="417"/>
    </row>
    <row r="263" spans="2:15" s="409" customFormat="1" ht="25" customHeight="1">
      <c r="B263" s="112"/>
      <c r="C263" s="112"/>
      <c r="D263" s="112"/>
      <c r="E263" s="112"/>
      <c r="F263" s="418"/>
      <c r="G263" s="419"/>
      <c r="H263" s="420"/>
      <c r="I263" s="420"/>
      <c r="J263" s="420"/>
      <c r="K263" s="421"/>
      <c r="L263" s="416"/>
      <c r="M263" s="643"/>
      <c r="N263" s="416"/>
      <c r="O263" s="417"/>
    </row>
    <row r="264" spans="2:15" s="409" customFormat="1" ht="25" customHeight="1">
      <c r="B264" s="112"/>
      <c r="C264" s="112"/>
      <c r="D264" s="112"/>
      <c r="E264" s="112"/>
      <c r="F264" s="418"/>
      <c r="G264" s="419"/>
      <c r="H264" s="420"/>
      <c r="I264" s="420"/>
      <c r="J264" s="420"/>
      <c r="K264" s="421"/>
      <c r="L264" s="416"/>
      <c r="M264" s="643"/>
      <c r="N264" s="416"/>
      <c r="O264" s="417"/>
    </row>
    <row r="265" spans="2:15" s="409" customFormat="1" ht="25" customHeight="1">
      <c r="B265" s="118"/>
      <c r="C265" s="116"/>
      <c r="D265" s="116"/>
      <c r="E265" s="116"/>
      <c r="K265" s="423"/>
      <c r="M265" s="644"/>
      <c r="O265" s="417"/>
    </row>
    <row r="266" spans="2:15" s="409" customFormat="1" ht="25" customHeight="1">
      <c r="B266" s="118"/>
      <c r="C266" s="116"/>
      <c r="D266" s="116"/>
      <c r="E266" s="116"/>
      <c r="K266" s="423"/>
      <c r="M266" s="644"/>
      <c r="O266" s="417"/>
    </row>
    <row r="267" spans="2:15" s="409" customFormat="1" ht="25" customHeight="1">
      <c r="B267" s="118"/>
      <c r="C267" s="116"/>
      <c r="D267" s="116"/>
      <c r="E267" s="116"/>
      <c r="K267" s="423"/>
      <c r="M267" s="644"/>
      <c r="O267" s="417"/>
    </row>
    <row r="268" spans="2:15" s="409" customFormat="1" ht="25" customHeight="1">
      <c r="B268" s="118"/>
      <c r="C268" s="116"/>
      <c r="D268" s="116"/>
      <c r="E268" s="116"/>
      <c r="K268" s="423"/>
      <c r="M268" s="644"/>
      <c r="O268" s="417"/>
    </row>
    <row r="269" spans="2:15" s="409" customFormat="1" ht="25" customHeight="1">
      <c r="B269" s="118"/>
      <c r="C269" s="116"/>
      <c r="D269" s="116"/>
      <c r="E269" s="116"/>
      <c r="K269" s="423"/>
      <c r="M269" s="644"/>
      <c r="O269" s="417"/>
    </row>
    <row r="270" spans="2:15" s="409" customFormat="1" ht="25" customHeight="1">
      <c r="B270" s="118"/>
      <c r="C270" s="116"/>
      <c r="D270" s="116"/>
      <c r="E270" s="116"/>
      <c r="K270" s="423"/>
      <c r="M270" s="644"/>
      <c r="O270" s="417"/>
    </row>
    <row r="271" spans="2:15" s="409" customFormat="1" ht="25" customHeight="1">
      <c r="B271" s="118"/>
      <c r="C271" s="116"/>
      <c r="D271" s="116"/>
      <c r="E271" s="116"/>
      <c r="K271" s="423"/>
      <c r="M271" s="644"/>
      <c r="O271" s="417"/>
    </row>
    <row r="272" spans="2:15" s="409" customFormat="1" ht="25" customHeight="1">
      <c r="B272" s="118"/>
      <c r="C272" s="116"/>
      <c r="D272" s="116"/>
      <c r="E272" s="116"/>
      <c r="K272" s="423"/>
      <c r="M272" s="644"/>
      <c r="O272" s="417"/>
    </row>
    <row r="273" spans="2:15" s="409" customFormat="1" ht="25" customHeight="1">
      <c r="B273" s="118"/>
      <c r="C273" s="116"/>
      <c r="D273" s="116"/>
      <c r="E273" s="116"/>
      <c r="K273" s="423"/>
      <c r="M273" s="644"/>
      <c r="O273" s="417"/>
    </row>
    <row r="274" spans="2:15" s="409" customFormat="1" ht="25" customHeight="1">
      <c r="B274" s="118"/>
      <c r="C274" s="116"/>
      <c r="D274" s="116"/>
      <c r="E274" s="116"/>
      <c r="K274" s="423"/>
      <c r="M274" s="644"/>
      <c r="O274" s="417"/>
    </row>
    <row r="275" spans="2:15" s="409" customFormat="1" ht="25" customHeight="1">
      <c r="B275" s="118"/>
      <c r="C275" s="116"/>
      <c r="D275" s="116"/>
      <c r="E275" s="116"/>
      <c r="K275" s="423"/>
      <c r="M275" s="644"/>
      <c r="O275" s="417"/>
    </row>
    <row r="276" spans="2:15" s="409" customFormat="1" ht="25" customHeight="1">
      <c r="B276" s="118"/>
      <c r="C276" s="116"/>
      <c r="D276" s="116"/>
      <c r="E276" s="116"/>
      <c r="K276" s="423"/>
      <c r="M276" s="644"/>
      <c r="O276" s="417"/>
    </row>
    <row r="277" spans="2:15" s="409" customFormat="1" ht="25" customHeight="1">
      <c r="B277" s="118"/>
      <c r="C277" s="116"/>
      <c r="D277" s="116"/>
      <c r="E277" s="116"/>
      <c r="K277" s="423"/>
      <c r="M277" s="644"/>
      <c r="O277" s="417"/>
    </row>
    <row r="278" spans="2:15" s="409" customFormat="1" ht="25" customHeight="1">
      <c r="B278" s="118"/>
      <c r="C278" s="116"/>
      <c r="D278" s="116"/>
      <c r="E278" s="116"/>
      <c r="K278" s="423"/>
      <c r="M278" s="644"/>
      <c r="O278" s="417"/>
    </row>
    <row r="279" spans="2:15" s="409" customFormat="1" ht="25" customHeight="1">
      <c r="B279" s="118"/>
      <c r="C279" s="116"/>
      <c r="D279" s="116"/>
      <c r="E279" s="116"/>
      <c r="K279" s="423"/>
      <c r="M279" s="644"/>
      <c r="O279" s="417"/>
    </row>
    <row r="280" spans="2:15" s="409" customFormat="1" ht="25" customHeight="1">
      <c r="B280" s="118"/>
      <c r="C280" s="116"/>
      <c r="D280" s="116"/>
      <c r="E280" s="116"/>
      <c r="K280" s="423"/>
      <c r="M280" s="644"/>
      <c r="O280" s="417"/>
    </row>
    <row r="281" spans="2:15" s="409" customFormat="1" ht="25" customHeight="1">
      <c r="B281" s="118"/>
      <c r="C281" s="116"/>
      <c r="D281" s="116"/>
      <c r="E281" s="116"/>
      <c r="K281" s="423"/>
      <c r="M281" s="644"/>
      <c r="O281" s="417"/>
    </row>
    <row r="282" spans="2:15" s="409" customFormat="1" ht="25" customHeight="1">
      <c r="B282" s="118"/>
      <c r="C282" s="116"/>
      <c r="D282" s="116"/>
      <c r="E282" s="116"/>
      <c r="K282" s="423"/>
      <c r="M282" s="644"/>
      <c r="O282" s="417"/>
    </row>
    <row r="283" spans="2:15" s="409" customFormat="1" ht="25" customHeight="1">
      <c r="B283" s="118"/>
      <c r="C283" s="116"/>
      <c r="D283" s="116"/>
      <c r="E283" s="116"/>
      <c r="K283" s="423"/>
      <c r="M283" s="644"/>
      <c r="O283" s="417"/>
    </row>
    <row r="284" spans="2:15" s="409" customFormat="1" ht="25" customHeight="1">
      <c r="B284" s="118"/>
      <c r="C284" s="116"/>
      <c r="D284" s="116"/>
      <c r="E284" s="116"/>
      <c r="K284" s="423"/>
      <c r="M284" s="644"/>
      <c r="O284" s="417"/>
    </row>
    <row r="285" spans="2:15" s="409" customFormat="1" ht="25" customHeight="1">
      <c r="B285" s="118"/>
      <c r="C285" s="116"/>
      <c r="D285" s="116"/>
      <c r="E285" s="116"/>
      <c r="K285" s="423"/>
      <c r="M285" s="644"/>
      <c r="O285" s="417"/>
    </row>
    <row r="286" spans="2:15" s="409" customFormat="1" ht="25" customHeight="1">
      <c r="B286" s="118"/>
      <c r="C286" s="116"/>
      <c r="D286" s="116"/>
      <c r="E286" s="116"/>
      <c r="K286" s="423"/>
      <c r="M286" s="644"/>
      <c r="O286" s="417"/>
    </row>
    <row r="287" spans="2:15" s="409" customFormat="1" ht="25" customHeight="1">
      <c r="B287" s="118"/>
      <c r="C287" s="116"/>
      <c r="D287" s="116"/>
      <c r="E287" s="116"/>
      <c r="K287" s="423"/>
      <c r="M287" s="644"/>
      <c r="O287" s="417"/>
    </row>
    <row r="288" spans="2:15" s="409" customFormat="1" ht="25" customHeight="1">
      <c r="B288" s="118"/>
      <c r="C288" s="116"/>
      <c r="D288" s="116"/>
      <c r="E288" s="116"/>
      <c r="K288" s="423"/>
      <c r="M288" s="644"/>
      <c r="O288" s="417"/>
    </row>
    <row r="289" spans="2:15" s="409" customFormat="1" ht="25" customHeight="1">
      <c r="B289" s="118"/>
      <c r="C289" s="116"/>
      <c r="D289" s="116"/>
      <c r="E289" s="116"/>
      <c r="K289" s="423"/>
      <c r="M289" s="644"/>
      <c r="O289" s="417"/>
    </row>
    <row r="290" spans="2:15" s="409" customFormat="1" ht="25" customHeight="1">
      <c r="B290" s="118"/>
      <c r="C290" s="116"/>
      <c r="D290" s="116"/>
      <c r="E290" s="116"/>
      <c r="K290" s="423"/>
      <c r="M290" s="644"/>
      <c r="O290" s="417"/>
    </row>
    <row r="291" spans="2:15" s="409" customFormat="1" ht="25" customHeight="1">
      <c r="B291" s="118"/>
      <c r="C291" s="116"/>
      <c r="D291" s="116"/>
      <c r="E291" s="116"/>
      <c r="K291" s="423"/>
      <c r="M291" s="644"/>
      <c r="O291" s="417"/>
    </row>
    <row r="292" spans="2:15" s="409" customFormat="1" ht="25" customHeight="1">
      <c r="B292" s="118"/>
      <c r="C292" s="116"/>
      <c r="D292" s="116"/>
      <c r="E292" s="116"/>
      <c r="K292" s="423"/>
      <c r="M292" s="644"/>
      <c r="O292" s="417"/>
    </row>
    <row r="293" spans="2:15" s="409" customFormat="1" ht="25" customHeight="1">
      <c r="B293" s="118"/>
      <c r="C293" s="116"/>
      <c r="D293" s="116"/>
      <c r="E293" s="116"/>
      <c r="K293" s="423"/>
      <c r="M293" s="644"/>
      <c r="O293" s="417"/>
    </row>
    <row r="294" spans="2:15" s="409" customFormat="1" ht="25" customHeight="1">
      <c r="B294" s="118"/>
      <c r="C294" s="116"/>
      <c r="D294" s="116"/>
      <c r="E294" s="116"/>
      <c r="K294" s="423"/>
      <c r="M294" s="644"/>
      <c r="O294" s="417"/>
    </row>
    <row r="295" spans="2:15" s="409" customFormat="1" ht="25" customHeight="1">
      <c r="B295" s="118"/>
      <c r="C295" s="116"/>
      <c r="D295" s="116"/>
      <c r="E295" s="116"/>
      <c r="K295" s="423"/>
      <c r="M295" s="644"/>
      <c r="O295" s="417"/>
    </row>
    <row r="296" spans="2:15" s="409" customFormat="1" ht="25" customHeight="1">
      <c r="B296" s="118"/>
      <c r="C296" s="116"/>
      <c r="D296" s="116"/>
      <c r="E296" s="116"/>
      <c r="K296" s="423"/>
      <c r="M296" s="644"/>
      <c r="O296" s="417"/>
    </row>
    <row r="297" spans="2:15" s="409" customFormat="1" ht="25" customHeight="1">
      <c r="B297" s="118"/>
      <c r="C297" s="116"/>
      <c r="D297" s="116"/>
      <c r="E297" s="116"/>
      <c r="K297" s="423"/>
      <c r="M297" s="644"/>
      <c r="O297" s="417"/>
    </row>
    <row r="298" spans="2:15" s="409" customFormat="1" ht="25" customHeight="1">
      <c r="B298" s="118"/>
      <c r="C298" s="116"/>
      <c r="D298" s="116"/>
      <c r="E298" s="116"/>
      <c r="K298" s="423"/>
      <c r="M298" s="644"/>
      <c r="O298" s="417"/>
    </row>
    <row r="299" spans="2:15" s="409" customFormat="1" ht="25" customHeight="1">
      <c r="B299" s="118"/>
      <c r="C299" s="116"/>
      <c r="D299" s="116"/>
      <c r="E299" s="116"/>
      <c r="K299" s="423"/>
      <c r="M299" s="644"/>
      <c r="O299" s="417"/>
    </row>
    <row r="300" spans="2:15" s="409" customFormat="1" ht="25" customHeight="1">
      <c r="B300" s="118"/>
      <c r="C300" s="116"/>
      <c r="D300" s="116"/>
      <c r="E300" s="116"/>
      <c r="K300" s="423"/>
      <c r="M300" s="644"/>
      <c r="O300" s="417"/>
    </row>
    <row r="301" spans="2:15" s="409" customFormat="1" ht="25" customHeight="1">
      <c r="B301" s="118"/>
      <c r="C301" s="116"/>
      <c r="D301" s="116"/>
      <c r="E301" s="116"/>
      <c r="K301" s="423"/>
      <c r="M301" s="644"/>
      <c r="O301" s="417"/>
    </row>
    <row r="302" spans="2:15" s="409" customFormat="1" ht="25" customHeight="1">
      <c r="B302" s="118"/>
      <c r="C302" s="116"/>
      <c r="D302" s="116"/>
      <c r="E302" s="116"/>
      <c r="K302" s="423"/>
      <c r="M302" s="644"/>
      <c r="O302" s="417"/>
    </row>
    <row r="303" spans="2:15" s="409" customFormat="1" ht="25" customHeight="1">
      <c r="B303" s="118"/>
      <c r="C303" s="116"/>
      <c r="D303" s="116"/>
      <c r="E303" s="116"/>
      <c r="K303" s="423"/>
      <c r="M303" s="644"/>
      <c r="O303" s="417"/>
    </row>
    <row r="304" spans="2:15" s="409" customFormat="1" ht="25" customHeight="1">
      <c r="B304" s="118"/>
      <c r="C304" s="116"/>
      <c r="D304" s="116"/>
      <c r="E304" s="116"/>
      <c r="K304" s="423"/>
      <c r="M304" s="644"/>
      <c r="O304" s="417"/>
    </row>
    <row r="305" spans="2:15" s="409" customFormat="1" ht="25" customHeight="1">
      <c r="B305" s="118"/>
      <c r="C305" s="116"/>
      <c r="D305" s="116"/>
      <c r="E305" s="116"/>
      <c r="K305" s="423"/>
      <c r="M305" s="644"/>
      <c r="O305" s="417"/>
    </row>
    <row r="306" spans="2:15" s="409" customFormat="1" ht="25" customHeight="1">
      <c r="B306" s="118"/>
      <c r="C306" s="116"/>
      <c r="D306" s="116"/>
      <c r="E306" s="116"/>
      <c r="K306" s="423"/>
      <c r="M306" s="644"/>
      <c r="O306" s="417"/>
    </row>
    <row r="307" spans="2:15" s="409" customFormat="1" ht="25" customHeight="1">
      <c r="B307" s="118"/>
      <c r="C307" s="116"/>
      <c r="D307" s="116"/>
      <c r="E307" s="116"/>
      <c r="K307" s="423"/>
      <c r="M307" s="644"/>
      <c r="O307" s="417"/>
    </row>
    <row r="308" spans="2:15" s="409" customFormat="1" ht="25" customHeight="1">
      <c r="B308" s="118"/>
      <c r="C308" s="116"/>
      <c r="D308" s="116"/>
      <c r="E308" s="116"/>
      <c r="K308" s="423"/>
      <c r="M308" s="644"/>
      <c r="O308" s="417"/>
    </row>
    <row r="309" spans="2:15" s="409" customFormat="1" ht="25" customHeight="1">
      <c r="B309" s="118"/>
      <c r="C309" s="116"/>
      <c r="D309" s="116"/>
      <c r="E309" s="116"/>
      <c r="K309" s="423"/>
      <c r="M309" s="644"/>
      <c r="O309" s="417"/>
    </row>
    <row r="310" spans="2:15" s="409" customFormat="1" ht="25" customHeight="1">
      <c r="B310" s="118"/>
      <c r="C310" s="116"/>
      <c r="D310" s="116"/>
      <c r="E310" s="116"/>
      <c r="K310" s="423"/>
      <c r="M310" s="644"/>
      <c r="O310" s="417"/>
    </row>
    <row r="311" spans="2:15" s="409" customFormat="1" ht="25" customHeight="1">
      <c r="B311" s="118"/>
      <c r="C311" s="116"/>
      <c r="D311" s="116"/>
      <c r="E311" s="116"/>
      <c r="K311" s="423"/>
      <c r="M311" s="644"/>
      <c r="O311" s="417"/>
    </row>
    <row r="312" spans="2:15" s="409" customFormat="1" ht="25" customHeight="1">
      <c r="B312" s="118"/>
      <c r="C312" s="116"/>
      <c r="D312" s="116"/>
      <c r="E312" s="116"/>
      <c r="K312" s="423"/>
      <c r="M312" s="644"/>
      <c r="O312" s="417"/>
    </row>
    <row r="313" spans="2:15" s="409" customFormat="1" ht="25" customHeight="1">
      <c r="B313" s="115"/>
      <c r="C313" s="117"/>
      <c r="D313" s="117"/>
      <c r="E313" s="117"/>
      <c r="F313" s="417"/>
      <c r="G313" s="417"/>
      <c r="H313" s="417"/>
      <c r="I313" s="417"/>
      <c r="J313" s="417"/>
      <c r="K313" s="421"/>
      <c r="L313" s="417"/>
      <c r="M313" s="645"/>
      <c r="O313" s="417"/>
    </row>
    <row r="314" spans="2:15" s="409" customFormat="1" ht="25" customHeight="1">
      <c r="B314" s="118"/>
      <c r="C314" s="116"/>
      <c r="D314" s="116"/>
      <c r="E314" s="116"/>
      <c r="K314" s="423"/>
      <c r="M314" s="644"/>
      <c r="O314" s="417"/>
    </row>
    <row r="315" spans="2:15" s="409" customFormat="1" ht="25" customHeight="1">
      <c r="B315" s="118"/>
      <c r="C315" s="116"/>
      <c r="D315" s="116"/>
      <c r="E315" s="116"/>
      <c r="K315" s="423"/>
      <c r="M315" s="644"/>
      <c r="O315" s="417"/>
    </row>
    <row r="316" spans="2:15" s="168" customFormat="1" ht="25" customHeight="1">
      <c r="B316" s="119"/>
      <c r="C316" s="1"/>
      <c r="D316" s="1"/>
      <c r="E316" s="1"/>
      <c r="K316" s="203"/>
      <c r="M316" s="646"/>
      <c r="O316" s="426"/>
    </row>
    <row r="317" spans="2:15" s="168" customFormat="1" ht="25" customHeight="1">
      <c r="B317" s="119"/>
      <c r="C317" s="1"/>
      <c r="D317" s="1"/>
      <c r="E317" s="1"/>
      <c r="K317" s="203"/>
      <c r="M317" s="646"/>
      <c r="O317" s="426"/>
    </row>
    <row r="318" spans="2:15" s="168" customFormat="1" ht="25" customHeight="1">
      <c r="B318" s="119"/>
      <c r="C318" s="1"/>
      <c r="D318" s="1"/>
      <c r="E318" s="1"/>
      <c r="K318" s="203"/>
      <c r="M318" s="646"/>
      <c r="O318" s="426"/>
    </row>
    <row r="319" spans="2:15" s="168" customFormat="1" ht="25" customHeight="1">
      <c r="B319" s="119"/>
      <c r="C319" s="1"/>
      <c r="D319" s="1"/>
      <c r="E319" s="1"/>
      <c r="K319" s="203"/>
      <c r="M319" s="646"/>
      <c r="O319" s="426"/>
    </row>
    <row r="320" spans="2:15" s="168" customFormat="1" ht="25" customHeight="1">
      <c r="B320" s="119"/>
      <c r="C320" s="1"/>
      <c r="D320" s="1"/>
      <c r="E320" s="1"/>
      <c r="K320" s="203"/>
      <c r="M320" s="646"/>
      <c r="O320" s="426"/>
    </row>
    <row r="321" spans="2:15" s="168" customFormat="1" ht="25" customHeight="1">
      <c r="B321" s="119"/>
      <c r="C321" s="1"/>
      <c r="D321" s="1"/>
      <c r="E321" s="1"/>
      <c r="K321" s="203"/>
      <c r="M321" s="646"/>
      <c r="O321" s="426"/>
    </row>
    <row r="322" spans="2:15" s="168" customFormat="1" ht="25" customHeight="1">
      <c r="B322" s="119"/>
      <c r="C322" s="1"/>
      <c r="D322" s="1"/>
      <c r="E322" s="1"/>
      <c r="K322" s="203"/>
      <c r="M322" s="646"/>
      <c r="O322" s="426"/>
    </row>
    <row r="323" spans="2:15" s="168" customFormat="1" ht="25" customHeight="1">
      <c r="B323" s="119"/>
      <c r="C323" s="1"/>
      <c r="D323" s="1"/>
      <c r="E323" s="1"/>
      <c r="K323" s="203"/>
      <c r="M323" s="646"/>
      <c r="O323" s="426"/>
    </row>
    <row r="324" spans="2:15" s="168" customFormat="1" ht="25" customHeight="1">
      <c r="B324" s="119"/>
      <c r="C324" s="1"/>
      <c r="D324" s="1"/>
      <c r="E324" s="1"/>
      <c r="K324" s="203"/>
      <c r="M324" s="646"/>
      <c r="O324" s="426"/>
    </row>
    <row r="325" spans="2:15" s="168" customFormat="1" ht="25" customHeight="1">
      <c r="B325" s="119"/>
      <c r="C325" s="1"/>
      <c r="D325" s="1"/>
      <c r="E325" s="1"/>
      <c r="K325" s="203"/>
      <c r="M325" s="646"/>
      <c r="O325" s="426"/>
    </row>
    <row r="326" spans="2:15" s="168" customFormat="1" ht="25" customHeight="1">
      <c r="B326" s="119"/>
      <c r="C326" s="1"/>
      <c r="D326" s="1"/>
      <c r="E326" s="1"/>
      <c r="K326" s="203"/>
      <c r="M326" s="646"/>
      <c r="O326" s="426"/>
    </row>
    <row r="327" spans="2:15" s="168" customFormat="1" ht="25" customHeight="1">
      <c r="B327" s="40"/>
      <c r="C327" s="40"/>
      <c r="D327" s="98"/>
      <c r="E327" s="1"/>
      <c r="K327" s="203"/>
      <c r="M327" s="646"/>
      <c r="O327" s="426"/>
    </row>
    <row r="328" spans="2:15" s="168" customFormat="1" ht="25" customHeight="1">
      <c r="B328" s="119"/>
      <c r="C328" s="1"/>
      <c r="D328" s="1"/>
      <c r="E328" s="1"/>
      <c r="K328" s="203"/>
      <c r="M328" s="646"/>
      <c r="O328" s="426"/>
    </row>
    <row r="329" spans="2:15" s="168" customFormat="1" ht="25" customHeight="1">
      <c r="B329" s="119"/>
      <c r="C329" s="1"/>
      <c r="D329" s="1"/>
      <c r="E329" s="1"/>
      <c r="K329" s="203"/>
      <c r="M329" s="646"/>
      <c r="O329" s="426"/>
    </row>
    <row r="330" spans="2:15" s="168" customFormat="1" ht="25" customHeight="1">
      <c r="B330" s="119"/>
      <c r="C330" s="1"/>
      <c r="D330" s="1"/>
      <c r="E330" s="1"/>
      <c r="K330" s="203"/>
      <c r="M330" s="646"/>
      <c r="O330" s="426"/>
    </row>
    <row r="331" spans="2:15" s="168" customFormat="1" ht="25" customHeight="1">
      <c r="B331" s="119"/>
      <c r="C331" s="1"/>
      <c r="D331" s="1"/>
      <c r="E331" s="1"/>
      <c r="K331" s="203"/>
      <c r="M331" s="646"/>
      <c r="O331" s="426"/>
    </row>
    <row r="332" spans="2:15" s="168" customFormat="1" ht="25" customHeight="1">
      <c r="B332" s="119"/>
      <c r="C332" s="1"/>
      <c r="D332" s="1"/>
      <c r="E332" s="1"/>
      <c r="K332" s="203"/>
      <c r="M332" s="646"/>
      <c r="O332" s="426"/>
    </row>
    <row r="333" spans="2:15" s="168" customFormat="1" ht="25" customHeight="1">
      <c r="B333" s="119"/>
      <c r="C333" s="1"/>
      <c r="D333" s="1"/>
      <c r="E333" s="1"/>
      <c r="K333" s="203"/>
      <c r="M333" s="646"/>
      <c r="O333" s="426"/>
    </row>
    <row r="334" spans="2:15" s="168" customFormat="1" ht="25" customHeight="1">
      <c r="B334" s="119"/>
      <c r="C334" s="1"/>
      <c r="D334" s="1"/>
      <c r="E334" s="1"/>
      <c r="K334" s="203"/>
      <c r="M334" s="646"/>
      <c r="O334" s="426"/>
    </row>
    <row r="335" spans="2:15" s="168" customFormat="1" ht="25" customHeight="1">
      <c r="B335" s="119"/>
      <c r="C335" s="1"/>
      <c r="D335" s="1"/>
      <c r="E335" s="1"/>
      <c r="K335" s="203"/>
      <c r="M335" s="646"/>
      <c r="O335" s="426"/>
    </row>
    <row r="336" spans="2:15" s="168" customFormat="1" ht="25" customHeight="1">
      <c r="B336" s="119"/>
      <c r="C336" s="1"/>
      <c r="D336" s="1"/>
      <c r="E336" s="1"/>
      <c r="K336" s="203"/>
      <c r="M336" s="646"/>
      <c r="O336" s="426"/>
    </row>
    <row r="337" spans="2:15" s="168" customFormat="1" ht="25" customHeight="1">
      <c r="B337" s="119"/>
      <c r="C337" s="1"/>
      <c r="D337" s="1"/>
      <c r="E337" s="1"/>
      <c r="K337" s="203"/>
      <c r="M337" s="646"/>
      <c r="O337" s="426"/>
    </row>
    <row r="338" spans="2:15" s="168" customFormat="1" ht="25" customHeight="1">
      <c r="B338" s="119"/>
      <c r="C338" s="1"/>
      <c r="D338" s="1"/>
      <c r="E338" s="1"/>
      <c r="K338" s="203"/>
      <c r="M338" s="646"/>
      <c r="O338" s="426"/>
    </row>
    <row r="339" spans="2:15" s="168" customFormat="1" ht="25" customHeight="1">
      <c r="B339" s="119"/>
      <c r="C339" s="1"/>
      <c r="D339" s="1"/>
      <c r="E339" s="1"/>
      <c r="K339" s="203"/>
      <c r="M339" s="646"/>
      <c r="O339" s="426"/>
    </row>
    <row r="340" spans="2:15" s="168" customFormat="1" ht="25" customHeight="1">
      <c r="B340" s="119"/>
      <c r="C340" s="1"/>
      <c r="D340" s="1"/>
      <c r="E340" s="1"/>
      <c r="K340" s="203"/>
      <c r="M340" s="646"/>
      <c r="O340" s="426"/>
    </row>
    <row r="341" spans="2:15" s="168" customFormat="1" ht="25" customHeight="1">
      <c r="B341" s="119"/>
      <c r="C341" s="1"/>
      <c r="D341" s="1"/>
      <c r="E341" s="1"/>
      <c r="K341" s="203"/>
      <c r="M341" s="646"/>
      <c r="O341" s="426"/>
    </row>
    <row r="342" spans="2:15" s="168" customFormat="1" ht="25" customHeight="1">
      <c r="B342" s="119"/>
      <c r="C342" s="1"/>
      <c r="D342" s="1"/>
      <c r="E342" s="1"/>
      <c r="K342" s="203"/>
      <c r="M342" s="646"/>
      <c r="O342" s="426"/>
    </row>
    <row r="343" spans="2:15" s="168" customFormat="1" ht="25" customHeight="1">
      <c r="B343" s="119"/>
      <c r="C343" s="1"/>
      <c r="D343" s="1"/>
      <c r="E343" s="1"/>
      <c r="K343" s="203"/>
      <c r="M343" s="646"/>
      <c r="O343" s="426"/>
    </row>
    <row r="344" spans="2:15" s="168" customFormat="1" ht="25" customHeight="1">
      <c r="B344" s="119"/>
      <c r="C344" s="1"/>
      <c r="D344" s="1"/>
      <c r="E344" s="1"/>
      <c r="K344" s="203"/>
      <c r="M344" s="646"/>
      <c r="O344" s="426"/>
    </row>
    <row r="345" spans="2:15" s="168" customFormat="1" ht="25" customHeight="1">
      <c r="B345" s="119"/>
      <c r="C345" s="1"/>
      <c r="D345" s="1"/>
      <c r="E345" s="1"/>
      <c r="K345" s="203"/>
      <c r="M345" s="646"/>
      <c r="O345" s="426"/>
    </row>
    <row r="346" spans="2:15" s="168" customFormat="1" ht="25" customHeight="1">
      <c r="B346" s="119"/>
      <c r="C346" s="1"/>
      <c r="D346" s="1"/>
      <c r="E346" s="1"/>
      <c r="K346" s="203"/>
      <c r="M346" s="646"/>
      <c r="O346" s="426"/>
    </row>
    <row r="347" spans="2:15" s="168" customFormat="1" ht="25" customHeight="1">
      <c r="B347" s="119"/>
      <c r="C347" s="1"/>
      <c r="D347" s="1"/>
      <c r="E347" s="1"/>
      <c r="K347" s="203"/>
      <c r="M347" s="646"/>
      <c r="O347" s="426"/>
    </row>
    <row r="348" spans="2:15" s="168" customFormat="1" ht="25" customHeight="1">
      <c r="B348" s="119"/>
      <c r="C348" s="1"/>
      <c r="D348" s="1"/>
      <c r="E348" s="1"/>
      <c r="K348" s="203"/>
      <c r="M348" s="646"/>
      <c r="O348" s="426"/>
    </row>
    <row r="349" spans="2:15" s="168" customFormat="1" ht="25" customHeight="1">
      <c r="B349" s="119"/>
      <c r="C349" s="1"/>
      <c r="D349" s="1"/>
      <c r="E349" s="1"/>
      <c r="K349" s="203"/>
      <c r="M349" s="646"/>
      <c r="O349" s="426"/>
    </row>
    <row r="350" spans="2:15" s="168" customFormat="1" ht="25" customHeight="1">
      <c r="B350" s="119"/>
      <c r="C350" s="1"/>
      <c r="D350" s="1"/>
      <c r="E350" s="1"/>
      <c r="K350" s="203"/>
      <c r="M350" s="646"/>
      <c r="O350" s="426"/>
    </row>
    <row r="351" spans="2:15" s="168" customFormat="1" ht="25" customHeight="1">
      <c r="B351" s="119"/>
      <c r="C351" s="1"/>
      <c r="D351" s="1"/>
      <c r="E351" s="1"/>
      <c r="K351" s="203"/>
      <c r="M351" s="646"/>
      <c r="O351" s="426"/>
    </row>
    <row r="352" spans="2:15" s="168" customFormat="1" ht="25" customHeight="1">
      <c r="B352" s="119"/>
      <c r="C352" s="1"/>
      <c r="D352" s="1"/>
      <c r="E352" s="1"/>
      <c r="K352" s="203"/>
      <c r="M352" s="646"/>
      <c r="O352" s="426"/>
    </row>
    <row r="353" spans="2:15" s="168" customFormat="1" ht="25" customHeight="1">
      <c r="B353" s="119"/>
      <c r="C353" s="1"/>
      <c r="D353" s="1"/>
      <c r="E353" s="1"/>
      <c r="K353" s="203"/>
      <c r="M353" s="646"/>
      <c r="O353" s="426"/>
    </row>
    <row r="354" spans="2:15" s="168" customFormat="1" ht="25" customHeight="1">
      <c r="B354" s="119"/>
      <c r="C354" s="1"/>
      <c r="D354" s="1"/>
      <c r="E354" s="1"/>
      <c r="K354" s="203"/>
      <c r="M354" s="646"/>
      <c r="O354" s="426"/>
    </row>
    <row r="355" spans="2:15" s="168" customFormat="1" ht="25" customHeight="1">
      <c r="B355" s="119"/>
      <c r="C355" s="1"/>
      <c r="D355" s="1"/>
      <c r="E355" s="1"/>
      <c r="K355" s="203"/>
      <c r="M355" s="646"/>
      <c r="O355" s="426"/>
    </row>
    <row r="356" spans="2:15" s="168" customFormat="1" ht="25" customHeight="1">
      <c r="B356" s="119"/>
      <c r="C356" s="1"/>
      <c r="D356" s="1"/>
      <c r="E356" s="1"/>
      <c r="K356" s="203"/>
      <c r="M356" s="646"/>
      <c r="O356" s="426"/>
    </row>
    <row r="357" spans="2:15" s="168" customFormat="1" ht="25" customHeight="1">
      <c r="B357" s="119"/>
      <c r="C357" s="1"/>
      <c r="D357" s="1"/>
      <c r="E357" s="1"/>
      <c r="K357" s="203"/>
      <c r="M357" s="646"/>
      <c r="O357" s="426"/>
    </row>
    <row r="358" spans="2:15" s="168" customFormat="1" ht="25" customHeight="1">
      <c r="B358" s="119"/>
      <c r="C358" s="1"/>
      <c r="D358" s="1"/>
      <c r="E358" s="1"/>
      <c r="K358" s="203"/>
      <c r="M358" s="646"/>
      <c r="O358" s="426"/>
    </row>
    <row r="359" spans="2:15" s="168" customFormat="1" ht="25" customHeight="1">
      <c r="B359" s="119"/>
      <c r="C359" s="1"/>
      <c r="D359" s="1"/>
      <c r="E359" s="1"/>
      <c r="K359" s="203"/>
      <c r="M359" s="646"/>
      <c r="O359" s="426"/>
    </row>
    <row r="360" spans="2:15" s="168" customFormat="1" ht="25" customHeight="1">
      <c r="B360" s="119"/>
      <c r="C360" s="1"/>
      <c r="D360" s="1"/>
      <c r="E360" s="1"/>
      <c r="K360" s="203"/>
      <c r="M360" s="646"/>
      <c r="O360" s="426"/>
    </row>
    <row r="361" spans="2:15" s="168" customFormat="1" ht="25" customHeight="1">
      <c r="B361" s="119"/>
      <c r="C361" s="1"/>
      <c r="D361" s="1"/>
      <c r="E361" s="1"/>
      <c r="K361" s="203"/>
      <c r="M361" s="646"/>
      <c r="O361" s="426"/>
    </row>
    <row r="362" spans="2:15" s="168" customFormat="1" ht="25" customHeight="1">
      <c r="B362" s="119"/>
      <c r="C362" s="1"/>
      <c r="D362" s="1"/>
      <c r="E362" s="1"/>
      <c r="K362" s="203"/>
      <c r="M362" s="646"/>
      <c r="O362" s="426"/>
    </row>
    <row r="363" spans="2:15" s="168" customFormat="1" ht="25" customHeight="1">
      <c r="B363" s="119"/>
      <c r="C363" s="1"/>
      <c r="D363" s="1"/>
      <c r="E363" s="1"/>
      <c r="K363" s="203"/>
      <c r="M363" s="646"/>
      <c r="O363" s="426"/>
    </row>
    <row r="364" spans="2:15" s="168" customFormat="1" ht="25" customHeight="1">
      <c r="B364" s="119"/>
      <c r="C364" s="1"/>
      <c r="D364" s="1"/>
      <c r="E364" s="1"/>
      <c r="K364" s="203"/>
      <c r="M364" s="646"/>
      <c r="O364" s="426"/>
    </row>
    <row r="365" spans="2:15" s="168" customFormat="1" ht="25" customHeight="1">
      <c r="B365" s="119"/>
      <c r="C365" s="1"/>
      <c r="D365" s="1"/>
      <c r="E365" s="1"/>
      <c r="K365" s="203"/>
      <c r="M365" s="646"/>
      <c r="O365" s="426"/>
    </row>
    <row r="366" spans="2:15" s="168" customFormat="1" ht="25" customHeight="1">
      <c r="B366" s="119"/>
      <c r="C366" s="1"/>
      <c r="D366" s="1"/>
      <c r="E366" s="1"/>
      <c r="K366" s="203"/>
      <c r="M366" s="646"/>
      <c r="O366" s="426"/>
    </row>
    <row r="367" spans="2:15" s="168" customFormat="1" ht="25" customHeight="1">
      <c r="B367" s="119"/>
      <c r="C367" s="1"/>
      <c r="D367" s="1"/>
      <c r="E367" s="1"/>
      <c r="K367" s="203"/>
      <c r="M367" s="646"/>
      <c r="O367" s="426"/>
    </row>
    <row r="368" spans="2:15" s="168" customFormat="1" ht="25" customHeight="1">
      <c r="B368" s="119"/>
      <c r="C368" s="1"/>
      <c r="D368" s="1"/>
      <c r="E368" s="1"/>
      <c r="K368" s="203"/>
      <c r="M368" s="646"/>
      <c r="O368" s="426"/>
    </row>
    <row r="369" spans="2:15" s="168" customFormat="1" ht="25" customHeight="1">
      <c r="B369" s="119"/>
      <c r="C369" s="1"/>
      <c r="D369" s="1"/>
      <c r="E369" s="1"/>
      <c r="K369" s="203"/>
      <c r="M369" s="646"/>
      <c r="O369" s="426"/>
    </row>
    <row r="370" spans="2:15" s="168" customFormat="1" ht="25" customHeight="1">
      <c r="B370" s="119"/>
      <c r="C370" s="1"/>
      <c r="D370" s="1"/>
      <c r="E370" s="1"/>
      <c r="K370" s="203"/>
      <c r="M370" s="646"/>
      <c r="O370" s="426"/>
    </row>
    <row r="371" spans="2:15" s="168" customFormat="1" ht="25" customHeight="1">
      <c r="B371" s="119"/>
      <c r="C371" s="1"/>
      <c r="D371" s="1"/>
      <c r="E371" s="1"/>
      <c r="K371" s="203"/>
      <c r="M371" s="646"/>
      <c r="O371" s="426"/>
    </row>
    <row r="372" spans="2:15" s="168" customFormat="1" ht="25" customHeight="1">
      <c r="B372" s="119"/>
      <c r="C372" s="1"/>
      <c r="D372" s="1"/>
      <c r="E372" s="1"/>
      <c r="K372" s="203"/>
      <c r="M372" s="646"/>
      <c r="O372" s="426"/>
    </row>
    <row r="373" spans="2:15" s="168" customFormat="1" ht="25" customHeight="1">
      <c r="B373" s="119"/>
      <c r="C373" s="1"/>
      <c r="D373" s="1"/>
      <c r="E373" s="1"/>
      <c r="K373" s="203"/>
      <c r="M373" s="646"/>
      <c r="O373" s="426"/>
    </row>
    <row r="374" spans="2:15" s="168" customFormat="1" ht="25" customHeight="1">
      <c r="B374" s="119"/>
      <c r="C374" s="1"/>
      <c r="D374" s="1"/>
      <c r="E374" s="1"/>
      <c r="K374" s="203"/>
      <c r="M374" s="646"/>
      <c r="O374" s="426"/>
    </row>
    <row r="375" spans="2:15" s="168" customFormat="1" ht="25" customHeight="1">
      <c r="B375" s="119"/>
      <c r="C375" s="1"/>
      <c r="D375" s="1"/>
      <c r="E375" s="1"/>
      <c r="K375" s="203"/>
      <c r="M375" s="646"/>
      <c r="O375" s="426"/>
    </row>
    <row r="376" spans="2:15" s="168" customFormat="1" ht="25" customHeight="1">
      <c r="B376" s="119"/>
      <c r="C376" s="1"/>
      <c r="D376" s="1"/>
      <c r="E376" s="1"/>
      <c r="K376" s="203"/>
      <c r="M376" s="646"/>
      <c r="O376" s="426"/>
    </row>
    <row r="377" spans="2:15" s="168" customFormat="1" ht="25" customHeight="1">
      <c r="B377" s="119"/>
      <c r="C377" s="1"/>
      <c r="D377" s="1"/>
      <c r="E377" s="1"/>
      <c r="K377" s="203"/>
      <c r="M377" s="646"/>
      <c r="O377" s="426"/>
    </row>
    <row r="378" spans="2:15" s="168" customFormat="1" ht="25" customHeight="1">
      <c r="B378" s="119"/>
      <c r="C378" s="1"/>
      <c r="D378" s="1"/>
      <c r="E378" s="1"/>
      <c r="K378" s="203"/>
      <c r="M378" s="646"/>
      <c r="O378" s="426"/>
    </row>
    <row r="379" spans="2:15" s="168" customFormat="1" ht="25" customHeight="1">
      <c r="B379" s="119"/>
      <c r="C379" s="1"/>
      <c r="D379" s="1"/>
      <c r="E379" s="1"/>
      <c r="K379" s="203"/>
      <c r="M379" s="646"/>
      <c r="O379" s="426"/>
    </row>
    <row r="380" spans="2:15" s="168" customFormat="1" ht="25" customHeight="1">
      <c r="B380" s="119"/>
      <c r="C380" s="1"/>
      <c r="D380" s="1"/>
      <c r="E380" s="1"/>
      <c r="K380" s="203"/>
      <c r="M380" s="646"/>
      <c r="O380" s="426"/>
    </row>
    <row r="381" spans="2:15" s="168" customFormat="1" ht="25" customHeight="1">
      <c r="B381" s="119"/>
      <c r="C381" s="1"/>
      <c r="D381" s="1"/>
      <c r="E381" s="1"/>
      <c r="K381" s="203"/>
      <c r="M381" s="646"/>
      <c r="O381" s="426"/>
    </row>
    <row r="382" spans="2:15" s="168" customFormat="1" ht="25" customHeight="1">
      <c r="B382" s="119"/>
      <c r="C382" s="1"/>
      <c r="D382" s="1"/>
      <c r="E382" s="1"/>
      <c r="K382" s="203"/>
      <c r="M382" s="646"/>
      <c r="O382" s="426"/>
    </row>
    <row r="383" spans="2:15" s="168" customFormat="1" ht="25" customHeight="1">
      <c r="B383" s="119"/>
      <c r="C383" s="1"/>
      <c r="D383" s="1"/>
      <c r="E383" s="1"/>
      <c r="K383" s="203"/>
      <c r="M383" s="646"/>
      <c r="O383" s="426"/>
    </row>
    <row r="384" spans="2:15" s="168" customFormat="1" ht="25" customHeight="1">
      <c r="B384" s="119"/>
      <c r="C384" s="1"/>
      <c r="D384" s="1"/>
      <c r="E384" s="1"/>
      <c r="K384" s="203"/>
      <c r="M384" s="646"/>
      <c r="O384" s="426"/>
    </row>
    <row r="385" spans="2:15" s="168" customFormat="1" ht="25" customHeight="1">
      <c r="B385" s="119"/>
      <c r="C385" s="1"/>
      <c r="D385" s="1"/>
      <c r="E385" s="1"/>
      <c r="K385" s="203"/>
      <c r="M385" s="646"/>
      <c r="O385" s="426"/>
    </row>
    <row r="386" spans="2:15" s="168" customFormat="1" ht="25" customHeight="1">
      <c r="B386" s="119"/>
      <c r="C386" s="1"/>
      <c r="D386" s="1"/>
      <c r="E386" s="1"/>
      <c r="K386" s="203"/>
      <c r="M386" s="646"/>
      <c r="O386" s="426"/>
    </row>
    <row r="387" spans="2:15" s="168" customFormat="1" ht="25" customHeight="1">
      <c r="B387" s="119"/>
      <c r="C387" s="1"/>
      <c r="D387" s="1"/>
      <c r="E387" s="1"/>
      <c r="K387" s="203"/>
      <c r="M387" s="646"/>
      <c r="O387" s="426"/>
    </row>
    <row r="388" spans="2:15" s="168" customFormat="1" ht="25" customHeight="1">
      <c r="B388" s="119"/>
      <c r="C388" s="1"/>
      <c r="D388" s="1"/>
      <c r="E388" s="1"/>
      <c r="K388" s="203"/>
      <c r="M388" s="646"/>
      <c r="O388" s="426"/>
    </row>
    <row r="389" spans="2:15" s="168" customFormat="1" ht="25" customHeight="1">
      <c r="B389" s="119"/>
      <c r="C389" s="1"/>
      <c r="D389" s="1"/>
      <c r="E389" s="1"/>
      <c r="K389" s="203"/>
      <c r="M389" s="646"/>
      <c r="O389" s="426"/>
    </row>
    <row r="390" spans="2:15" s="168" customFormat="1" ht="25" customHeight="1">
      <c r="B390" s="119"/>
      <c r="C390" s="1"/>
      <c r="D390" s="1"/>
      <c r="E390" s="1"/>
      <c r="K390" s="203"/>
      <c r="M390" s="646"/>
      <c r="O390" s="426"/>
    </row>
    <row r="391" spans="2:15" s="168" customFormat="1" ht="25" customHeight="1">
      <c r="B391" s="119"/>
      <c r="C391" s="1"/>
      <c r="D391" s="1"/>
      <c r="E391" s="1"/>
      <c r="K391" s="203"/>
      <c r="M391" s="646"/>
      <c r="O391" s="426"/>
    </row>
    <row r="392" spans="2:15" s="168" customFormat="1" ht="25" customHeight="1">
      <c r="B392" s="119"/>
      <c r="C392" s="1"/>
      <c r="D392" s="1"/>
      <c r="E392" s="1"/>
      <c r="K392" s="203"/>
      <c r="M392" s="646"/>
      <c r="O392" s="426"/>
    </row>
    <row r="393" spans="2:15" s="168" customFormat="1" ht="25" customHeight="1">
      <c r="B393" s="119"/>
      <c r="C393" s="1"/>
      <c r="D393" s="1"/>
      <c r="E393" s="1"/>
      <c r="K393" s="203"/>
      <c r="M393" s="646"/>
      <c r="O393" s="426"/>
    </row>
    <row r="394" spans="2:15" s="168" customFormat="1" ht="25" customHeight="1">
      <c r="B394" s="119"/>
      <c r="C394" s="1"/>
      <c r="D394" s="1"/>
      <c r="E394" s="1"/>
      <c r="K394" s="203"/>
      <c r="M394" s="646"/>
      <c r="O394" s="426"/>
    </row>
    <row r="395" spans="2:15" s="168" customFormat="1" ht="25" customHeight="1">
      <c r="B395" s="119"/>
      <c r="C395" s="1"/>
      <c r="D395" s="1"/>
      <c r="E395" s="1"/>
      <c r="K395" s="203"/>
      <c r="M395" s="646"/>
      <c r="O395" s="426"/>
    </row>
    <row r="396" spans="2:15" s="168" customFormat="1" ht="25" customHeight="1">
      <c r="B396" s="119"/>
      <c r="C396" s="1"/>
      <c r="D396" s="1"/>
      <c r="E396" s="1"/>
      <c r="K396" s="203"/>
      <c r="M396" s="646"/>
      <c r="O396" s="426"/>
    </row>
    <row r="397" spans="2:15" s="168" customFormat="1" ht="25" customHeight="1">
      <c r="B397" s="119"/>
      <c r="C397" s="1"/>
      <c r="D397" s="1"/>
      <c r="E397" s="1"/>
      <c r="K397" s="203"/>
      <c r="M397" s="646"/>
      <c r="O397" s="426"/>
    </row>
    <row r="398" spans="2:15" s="168" customFormat="1" ht="25" customHeight="1">
      <c r="B398" s="119"/>
      <c r="C398" s="1"/>
      <c r="D398" s="1"/>
      <c r="E398" s="1"/>
      <c r="K398" s="203"/>
      <c r="M398" s="646"/>
      <c r="O398" s="426"/>
    </row>
    <row r="399" spans="2:15" s="168" customFormat="1" ht="25" customHeight="1">
      <c r="B399" s="119"/>
      <c r="C399" s="1"/>
      <c r="D399" s="1"/>
      <c r="E399" s="1"/>
      <c r="K399" s="203"/>
      <c r="M399" s="646"/>
      <c r="O399" s="426"/>
    </row>
    <row r="400" spans="2:15" s="168" customFormat="1" ht="25" customHeight="1">
      <c r="B400" s="119"/>
      <c r="C400" s="1"/>
      <c r="D400" s="1"/>
      <c r="E400" s="1"/>
      <c r="K400" s="203"/>
      <c r="M400" s="646"/>
      <c r="O400" s="426"/>
    </row>
    <row r="401" spans="2:15" s="168" customFormat="1" ht="25" customHeight="1">
      <c r="B401" s="119"/>
      <c r="C401" s="1"/>
      <c r="D401" s="1"/>
      <c r="E401" s="1"/>
      <c r="K401" s="203"/>
      <c r="M401" s="646"/>
      <c r="O401" s="426"/>
    </row>
    <row r="402" spans="2:15" s="168" customFormat="1" ht="25" customHeight="1">
      <c r="B402" s="119"/>
      <c r="C402" s="1"/>
      <c r="D402" s="1"/>
      <c r="E402" s="1"/>
      <c r="K402" s="203"/>
      <c r="M402" s="646"/>
      <c r="O402" s="426"/>
    </row>
    <row r="403" spans="2:15" s="168" customFormat="1" ht="25" customHeight="1">
      <c r="B403" s="119"/>
      <c r="C403" s="1"/>
      <c r="D403" s="1"/>
      <c r="E403" s="1"/>
      <c r="K403" s="203"/>
      <c r="M403" s="646"/>
      <c r="O403" s="426"/>
    </row>
    <row r="404" spans="2:15" s="168" customFormat="1" ht="25" customHeight="1">
      <c r="B404" s="119"/>
      <c r="C404" s="1"/>
      <c r="D404" s="1"/>
      <c r="E404" s="1"/>
      <c r="K404" s="203"/>
      <c r="M404" s="646"/>
      <c r="O404" s="426"/>
    </row>
    <row r="405" spans="2:15" s="168" customFormat="1" ht="25" customHeight="1">
      <c r="B405" s="119"/>
      <c r="C405" s="1"/>
      <c r="D405" s="1"/>
      <c r="E405" s="1"/>
      <c r="K405" s="203"/>
      <c r="M405" s="646"/>
      <c r="O405" s="426"/>
    </row>
    <row r="406" spans="2:15" s="168" customFormat="1" ht="25" customHeight="1">
      <c r="B406" s="119"/>
      <c r="C406" s="1"/>
      <c r="D406" s="1"/>
      <c r="E406" s="1"/>
      <c r="K406" s="203"/>
      <c r="M406" s="646"/>
      <c r="O406" s="426"/>
    </row>
    <row r="407" spans="2:15" s="168" customFormat="1" ht="25" customHeight="1">
      <c r="B407" s="119"/>
      <c r="C407" s="1"/>
      <c r="D407" s="1"/>
      <c r="E407" s="1"/>
      <c r="K407" s="203"/>
      <c r="M407" s="646"/>
      <c r="O407" s="426"/>
    </row>
    <row r="408" spans="2:15" s="168" customFormat="1" ht="25" customHeight="1">
      <c r="B408" s="119"/>
      <c r="C408" s="1"/>
      <c r="D408" s="1"/>
      <c r="E408" s="1"/>
      <c r="K408" s="203"/>
      <c r="M408" s="646"/>
      <c r="O408" s="426"/>
    </row>
    <row r="409" spans="2:15" s="168" customFormat="1" ht="25" customHeight="1">
      <c r="B409" s="119"/>
      <c r="C409" s="1"/>
      <c r="D409" s="1"/>
      <c r="E409" s="1"/>
      <c r="K409" s="203"/>
      <c r="M409" s="646"/>
      <c r="O409" s="426"/>
    </row>
    <row r="410" spans="2:15" s="168" customFormat="1" ht="25" customHeight="1">
      <c r="B410" s="119"/>
      <c r="C410" s="1"/>
      <c r="D410" s="1"/>
      <c r="E410" s="1"/>
      <c r="K410" s="203"/>
      <c r="M410" s="646"/>
      <c r="O410" s="426"/>
    </row>
    <row r="411" spans="2:15" s="168" customFormat="1" ht="25" customHeight="1">
      <c r="B411" s="119"/>
      <c r="C411" s="1"/>
      <c r="D411" s="1"/>
      <c r="E411" s="1"/>
      <c r="K411" s="203"/>
      <c r="M411" s="646"/>
      <c r="O411" s="426"/>
    </row>
    <row r="412" spans="2:15" s="168" customFormat="1" ht="25" customHeight="1">
      <c r="B412" s="119"/>
      <c r="C412" s="1"/>
      <c r="D412" s="1"/>
      <c r="E412" s="1"/>
      <c r="K412" s="203"/>
      <c r="M412" s="646"/>
      <c r="O412" s="426"/>
    </row>
    <row r="413" spans="2:15" s="168" customFormat="1" ht="25" customHeight="1">
      <c r="B413" s="119"/>
      <c r="C413" s="1"/>
      <c r="D413" s="1"/>
      <c r="E413" s="1"/>
      <c r="K413" s="203"/>
      <c r="M413" s="646"/>
      <c r="O413" s="426"/>
    </row>
    <row r="414" spans="2:15" s="168" customFormat="1" ht="25" customHeight="1">
      <c r="B414" s="119"/>
      <c r="C414" s="1"/>
      <c r="D414" s="1"/>
      <c r="E414" s="1"/>
      <c r="K414" s="203"/>
      <c r="M414" s="646"/>
      <c r="O414" s="426"/>
    </row>
    <row r="415" spans="2:15" s="168" customFormat="1" ht="25" customHeight="1">
      <c r="B415" s="119"/>
      <c r="C415" s="1"/>
      <c r="D415" s="1"/>
      <c r="E415" s="1"/>
      <c r="K415" s="203"/>
      <c r="M415" s="646"/>
      <c r="O415" s="426"/>
    </row>
    <row r="416" spans="2:15" s="168" customFormat="1" ht="25" customHeight="1">
      <c r="B416" s="119"/>
      <c r="C416" s="1"/>
      <c r="D416" s="1"/>
      <c r="E416" s="1"/>
      <c r="K416" s="203"/>
      <c r="M416" s="646"/>
      <c r="O416" s="426"/>
    </row>
    <row r="417" spans="2:15" s="168" customFormat="1" ht="25" customHeight="1">
      <c r="B417" s="119"/>
      <c r="C417" s="1"/>
      <c r="D417" s="1"/>
      <c r="E417" s="1"/>
      <c r="K417" s="203"/>
      <c r="M417" s="646"/>
      <c r="O417" s="426"/>
    </row>
    <row r="418" spans="2:15" s="168" customFormat="1" ht="25" customHeight="1">
      <c r="B418" s="119"/>
      <c r="C418" s="1"/>
      <c r="D418" s="1"/>
      <c r="E418" s="1"/>
      <c r="K418" s="203"/>
      <c r="M418" s="646"/>
      <c r="O418" s="426"/>
    </row>
    <row r="419" spans="2:15" s="168" customFormat="1" ht="25" customHeight="1">
      <c r="B419" s="119"/>
      <c r="C419" s="1"/>
      <c r="D419" s="1"/>
      <c r="E419" s="1"/>
      <c r="K419" s="203"/>
      <c r="M419" s="646"/>
      <c r="O419" s="426"/>
    </row>
    <row r="420" spans="2:15" s="168" customFormat="1" ht="25" customHeight="1">
      <c r="B420" s="119"/>
      <c r="C420" s="1"/>
      <c r="D420" s="1"/>
      <c r="E420" s="1"/>
      <c r="K420" s="203"/>
      <c r="M420" s="646"/>
      <c r="O420" s="426"/>
    </row>
    <row r="421" spans="2:15" s="168" customFormat="1" ht="25" customHeight="1">
      <c r="B421" s="119"/>
      <c r="C421" s="1"/>
      <c r="D421" s="1"/>
      <c r="E421" s="1"/>
      <c r="K421" s="203"/>
      <c r="M421" s="646"/>
      <c r="O421" s="426"/>
    </row>
    <row r="422" spans="2:15" s="168" customFormat="1" ht="25" customHeight="1">
      <c r="B422" s="119"/>
      <c r="C422" s="1"/>
      <c r="D422" s="1"/>
      <c r="E422" s="1"/>
      <c r="K422" s="203"/>
      <c r="M422" s="646"/>
      <c r="O422" s="426"/>
    </row>
    <row r="423" spans="2:15" s="168" customFormat="1" ht="25" customHeight="1">
      <c r="B423" s="119"/>
      <c r="C423" s="1"/>
      <c r="D423" s="1"/>
      <c r="E423" s="1"/>
      <c r="K423" s="203"/>
      <c r="M423" s="646"/>
      <c r="O423" s="426"/>
    </row>
    <row r="424" spans="2:15" s="168" customFormat="1" ht="25" customHeight="1">
      <c r="B424" s="119"/>
      <c r="C424" s="1"/>
      <c r="D424" s="1"/>
      <c r="E424" s="1"/>
      <c r="K424" s="203"/>
      <c r="M424" s="646"/>
      <c r="O424" s="426"/>
    </row>
    <row r="425" spans="2:15" s="168" customFormat="1" ht="25" customHeight="1">
      <c r="B425" s="119"/>
      <c r="C425" s="1"/>
      <c r="D425" s="1"/>
      <c r="E425" s="1"/>
      <c r="K425" s="203"/>
      <c r="M425" s="646"/>
      <c r="O425" s="426"/>
    </row>
    <row r="426" spans="2:15" s="168" customFormat="1" ht="25" customHeight="1">
      <c r="B426" s="119"/>
      <c r="C426" s="1"/>
      <c r="D426" s="1"/>
      <c r="E426" s="1"/>
      <c r="K426" s="203"/>
      <c r="M426" s="646"/>
      <c r="O426" s="426"/>
    </row>
    <row r="427" spans="2:15" s="168" customFormat="1" ht="25" customHeight="1">
      <c r="B427" s="119"/>
      <c r="C427" s="1"/>
      <c r="D427" s="1"/>
      <c r="E427" s="1"/>
      <c r="K427" s="203"/>
      <c r="M427" s="646"/>
      <c r="O427" s="426"/>
    </row>
    <row r="428" spans="2:15" s="168" customFormat="1" ht="25" customHeight="1">
      <c r="B428" s="119"/>
      <c r="C428" s="1"/>
      <c r="D428" s="1"/>
      <c r="E428" s="1"/>
      <c r="K428" s="203"/>
      <c r="M428" s="646"/>
      <c r="O428" s="426"/>
    </row>
    <row r="429" spans="2:15" s="168" customFormat="1" ht="25" customHeight="1">
      <c r="B429" s="119"/>
      <c r="C429" s="1"/>
      <c r="D429" s="1"/>
      <c r="E429" s="1"/>
      <c r="K429" s="203"/>
      <c r="M429" s="646"/>
      <c r="O429" s="426"/>
    </row>
    <row r="430" spans="2:15" s="168" customFormat="1" ht="25" customHeight="1">
      <c r="B430" s="119"/>
      <c r="C430" s="1"/>
      <c r="D430" s="1"/>
      <c r="E430" s="1"/>
      <c r="K430" s="203"/>
      <c r="M430" s="646"/>
      <c r="O430" s="426"/>
    </row>
    <row r="431" spans="2:15" s="168" customFormat="1" ht="25" customHeight="1">
      <c r="B431" s="119"/>
      <c r="C431" s="1"/>
      <c r="D431" s="1"/>
      <c r="E431" s="1"/>
      <c r="K431" s="203"/>
      <c r="M431" s="646"/>
      <c r="O431" s="426"/>
    </row>
    <row r="432" spans="2:15" s="168" customFormat="1" ht="25" customHeight="1">
      <c r="B432" s="119"/>
      <c r="C432" s="1"/>
      <c r="D432" s="1"/>
      <c r="E432" s="1"/>
      <c r="K432" s="203"/>
      <c r="M432" s="646"/>
      <c r="O432" s="426"/>
    </row>
    <row r="433" spans="2:15" s="168" customFormat="1" ht="25" customHeight="1">
      <c r="B433" s="119"/>
      <c r="C433" s="1"/>
      <c r="D433" s="1"/>
      <c r="E433" s="1"/>
      <c r="K433" s="203"/>
      <c r="M433" s="646"/>
      <c r="O433" s="426"/>
    </row>
    <row r="434" spans="2:15" s="168" customFormat="1" ht="25" customHeight="1">
      <c r="B434" s="119"/>
      <c r="C434" s="1"/>
      <c r="D434" s="1"/>
      <c r="E434" s="1"/>
      <c r="K434" s="203"/>
      <c r="M434" s="646"/>
      <c r="O434" s="426"/>
    </row>
    <row r="435" spans="2:15" s="168" customFormat="1" ht="25" customHeight="1">
      <c r="B435" s="119"/>
      <c r="C435" s="1"/>
      <c r="D435" s="1"/>
      <c r="E435" s="1"/>
      <c r="K435" s="203"/>
      <c r="M435" s="646"/>
      <c r="O435" s="426"/>
    </row>
    <row r="436" spans="2:15" s="168" customFormat="1" ht="25" customHeight="1">
      <c r="B436" s="119"/>
      <c r="C436" s="1"/>
      <c r="D436" s="1"/>
      <c r="E436" s="1"/>
      <c r="K436" s="203"/>
      <c r="M436" s="646"/>
      <c r="O436" s="426"/>
    </row>
    <row r="437" spans="2:15" s="168" customFormat="1" ht="25" customHeight="1">
      <c r="B437" s="119"/>
      <c r="C437" s="1"/>
      <c r="D437" s="1"/>
      <c r="E437" s="1"/>
      <c r="K437" s="203"/>
      <c r="M437" s="646"/>
      <c r="O437" s="426"/>
    </row>
    <row r="438" spans="2:15" s="168" customFormat="1" ht="25" customHeight="1">
      <c r="B438" s="119"/>
      <c r="C438" s="1"/>
      <c r="D438" s="1"/>
      <c r="E438" s="1"/>
      <c r="K438" s="203"/>
      <c r="M438" s="646"/>
      <c r="O438" s="426"/>
    </row>
    <row r="439" spans="2:15" s="168" customFormat="1" ht="25" customHeight="1">
      <c r="B439" s="119"/>
      <c r="C439" s="1"/>
      <c r="D439" s="1"/>
      <c r="E439" s="1"/>
      <c r="K439" s="203"/>
      <c r="M439" s="646"/>
      <c r="O439" s="426"/>
    </row>
    <row r="440" spans="2:15" s="168" customFormat="1" ht="25" customHeight="1">
      <c r="B440" s="119"/>
      <c r="C440" s="1"/>
      <c r="D440" s="1"/>
      <c r="E440" s="1"/>
      <c r="K440" s="203"/>
      <c r="M440" s="646"/>
      <c r="O440" s="426"/>
    </row>
    <row r="441" spans="2:15" s="168" customFormat="1" ht="25" customHeight="1">
      <c r="B441" s="119"/>
      <c r="C441" s="1"/>
      <c r="D441" s="1"/>
      <c r="E441" s="1"/>
      <c r="K441" s="203"/>
      <c r="M441" s="646"/>
      <c r="O441" s="426"/>
    </row>
    <row r="442" spans="2:15" s="168" customFormat="1" ht="25" customHeight="1">
      <c r="B442" s="119"/>
      <c r="C442" s="1"/>
      <c r="D442" s="1"/>
      <c r="E442" s="1"/>
      <c r="K442" s="203"/>
      <c r="M442" s="646"/>
      <c r="O442" s="426"/>
    </row>
    <row r="443" spans="2:15" s="168" customFormat="1" ht="25" customHeight="1">
      <c r="B443" s="119"/>
      <c r="C443" s="1"/>
      <c r="D443" s="1"/>
      <c r="E443" s="1"/>
      <c r="K443" s="203"/>
      <c r="M443" s="646"/>
      <c r="O443" s="426"/>
    </row>
    <row r="444" spans="2:15" s="168" customFormat="1" ht="25" customHeight="1">
      <c r="B444" s="119"/>
      <c r="C444" s="1"/>
      <c r="D444" s="1"/>
      <c r="E444" s="1"/>
      <c r="K444" s="203"/>
      <c r="M444" s="646"/>
      <c r="O444" s="426"/>
    </row>
    <row r="445" spans="2:15" s="168" customFormat="1" ht="25" customHeight="1">
      <c r="B445" s="119"/>
      <c r="C445" s="1"/>
      <c r="D445" s="1"/>
      <c r="E445" s="1"/>
      <c r="K445" s="203"/>
      <c r="M445" s="646"/>
      <c r="O445" s="426"/>
    </row>
    <row r="446" spans="2:15" s="168" customFormat="1" ht="25" customHeight="1">
      <c r="B446" s="119"/>
      <c r="C446" s="1"/>
      <c r="D446" s="1"/>
      <c r="E446" s="1"/>
      <c r="K446" s="203"/>
      <c r="M446" s="646"/>
      <c r="O446" s="426"/>
    </row>
    <row r="447" spans="2:15" s="168" customFormat="1" ht="25" customHeight="1">
      <c r="B447" s="119"/>
      <c r="C447" s="1"/>
      <c r="D447" s="1"/>
      <c r="E447" s="1"/>
      <c r="K447" s="203"/>
      <c r="M447" s="646"/>
      <c r="O447" s="426"/>
    </row>
    <row r="448" spans="2:15" s="168" customFormat="1" ht="25" customHeight="1">
      <c r="B448" s="119"/>
      <c r="C448" s="1"/>
      <c r="D448" s="1"/>
      <c r="E448" s="1"/>
      <c r="K448" s="203"/>
      <c r="M448" s="646"/>
      <c r="O448" s="426"/>
    </row>
    <row r="449" spans="2:15" s="168" customFormat="1" ht="25" customHeight="1">
      <c r="B449" s="119"/>
      <c r="C449" s="1"/>
      <c r="D449" s="1"/>
      <c r="E449" s="1"/>
      <c r="K449" s="203"/>
      <c r="M449" s="646"/>
      <c r="O449" s="426"/>
    </row>
    <row r="450" spans="2:15" s="168" customFormat="1" ht="25" customHeight="1">
      <c r="B450" s="119"/>
      <c r="C450" s="1"/>
      <c r="D450" s="1"/>
      <c r="E450" s="1"/>
      <c r="K450" s="203"/>
      <c r="M450" s="646"/>
      <c r="O450" s="426"/>
    </row>
    <row r="451" spans="2:15" s="168" customFormat="1" ht="25" customHeight="1">
      <c r="B451" s="119"/>
      <c r="C451" s="1"/>
      <c r="D451" s="1"/>
      <c r="E451" s="1"/>
      <c r="K451" s="203"/>
      <c r="M451" s="646"/>
      <c r="O451" s="426"/>
    </row>
    <row r="452" spans="2:15" s="168" customFormat="1" ht="25" customHeight="1">
      <c r="B452" s="119"/>
      <c r="C452" s="1"/>
      <c r="D452" s="1"/>
      <c r="E452" s="1"/>
      <c r="K452" s="203"/>
      <c r="M452" s="646"/>
      <c r="O452" s="426"/>
    </row>
    <row r="453" spans="2:15" s="168" customFormat="1" ht="25" customHeight="1">
      <c r="B453" s="119"/>
      <c r="C453" s="1"/>
      <c r="D453" s="1"/>
      <c r="E453" s="1"/>
      <c r="K453" s="203"/>
      <c r="M453" s="646"/>
      <c r="O453" s="426"/>
    </row>
    <row r="454" spans="2:15" s="168" customFormat="1" ht="25" customHeight="1">
      <c r="B454" s="119"/>
      <c r="C454" s="1"/>
      <c r="D454" s="1"/>
      <c r="E454" s="1"/>
      <c r="K454" s="203"/>
      <c r="M454" s="646"/>
      <c r="O454" s="426"/>
    </row>
    <row r="455" spans="2:15" s="168" customFormat="1" ht="25" customHeight="1">
      <c r="B455" s="119"/>
      <c r="C455" s="1"/>
      <c r="D455" s="1"/>
      <c r="E455" s="1"/>
      <c r="K455" s="203"/>
      <c r="M455" s="646"/>
      <c r="O455" s="426"/>
    </row>
    <row r="456" spans="2:15" s="168" customFormat="1" ht="25" customHeight="1">
      <c r="B456" s="119"/>
      <c r="C456" s="1"/>
      <c r="D456" s="1"/>
      <c r="E456" s="1"/>
      <c r="K456" s="203"/>
      <c r="M456" s="646"/>
      <c r="O456" s="426"/>
    </row>
    <row r="457" spans="2:15" s="168" customFormat="1" ht="25" customHeight="1">
      <c r="B457" s="119"/>
      <c r="C457" s="1"/>
      <c r="D457" s="1"/>
      <c r="E457" s="1"/>
      <c r="K457" s="203"/>
      <c r="M457" s="646"/>
      <c r="O457" s="426"/>
    </row>
    <row r="458" spans="2:15" s="168" customFormat="1" ht="25" customHeight="1">
      <c r="B458" s="119"/>
      <c r="C458" s="1"/>
      <c r="D458" s="1"/>
      <c r="E458" s="1"/>
      <c r="K458" s="203"/>
      <c r="M458" s="646"/>
      <c r="O458" s="426"/>
    </row>
    <row r="459" spans="2:15" s="168" customFormat="1" ht="25" customHeight="1">
      <c r="B459" s="119"/>
      <c r="C459" s="1"/>
      <c r="D459" s="1"/>
      <c r="E459" s="1"/>
      <c r="K459" s="203"/>
      <c r="M459" s="646"/>
      <c r="O459" s="426"/>
    </row>
    <row r="460" spans="2:15" s="168" customFormat="1" ht="25" customHeight="1">
      <c r="B460" s="119"/>
      <c r="C460" s="1"/>
      <c r="D460" s="1"/>
      <c r="E460" s="1"/>
      <c r="K460" s="203"/>
      <c r="M460" s="646"/>
      <c r="O460" s="426"/>
    </row>
    <row r="461" spans="2:15" s="168" customFormat="1" ht="25" customHeight="1">
      <c r="B461" s="119"/>
      <c r="C461" s="1"/>
      <c r="D461" s="1"/>
      <c r="E461" s="1"/>
      <c r="K461" s="203"/>
      <c r="M461" s="646"/>
      <c r="O461" s="426"/>
    </row>
    <row r="462" spans="2:15" s="168" customFormat="1" ht="25" customHeight="1">
      <c r="B462" s="119"/>
      <c r="C462" s="1"/>
      <c r="D462" s="1"/>
      <c r="E462" s="1"/>
      <c r="K462" s="203"/>
      <c r="M462" s="646"/>
      <c r="O462" s="426"/>
    </row>
    <row r="463" spans="2:15" s="168" customFormat="1" ht="25" customHeight="1">
      <c r="B463" s="119"/>
      <c r="C463" s="1"/>
      <c r="D463" s="1"/>
      <c r="E463" s="1"/>
      <c r="K463" s="203"/>
      <c r="M463" s="646"/>
      <c r="O463" s="426"/>
    </row>
    <row r="464" spans="2:15" s="168" customFormat="1" ht="25" customHeight="1">
      <c r="B464" s="119"/>
      <c r="C464" s="1"/>
      <c r="D464" s="1"/>
      <c r="E464" s="1"/>
      <c r="K464" s="203"/>
      <c r="M464" s="646"/>
      <c r="O464" s="426"/>
    </row>
    <row r="465" spans="2:15" s="168" customFormat="1" ht="25" customHeight="1">
      <c r="B465" s="119"/>
      <c r="C465" s="1"/>
      <c r="D465" s="1"/>
      <c r="E465" s="1"/>
      <c r="K465" s="203"/>
      <c r="M465" s="646"/>
      <c r="O465" s="426"/>
    </row>
    <row r="466" spans="2:15" s="168" customFormat="1" ht="25" customHeight="1">
      <c r="B466" s="119"/>
      <c r="C466" s="1"/>
      <c r="D466" s="1"/>
      <c r="E466" s="1"/>
      <c r="K466" s="203"/>
      <c r="M466" s="646"/>
      <c r="O466" s="426"/>
    </row>
    <row r="467" spans="2:15" s="168" customFormat="1" ht="25" customHeight="1">
      <c r="B467" s="119"/>
      <c r="C467" s="1"/>
      <c r="D467" s="1"/>
      <c r="E467" s="1"/>
      <c r="K467" s="203"/>
      <c r="M467" s="646"/>
      <c r="O467" s="426"/>
    </row>
    <row r="468" spans="2:15" s="168" customFormat="1" ht="25" customHeight="1">
      <c r="B468" s="119"/>
      <c r="C468" s="1"/>
      <c r="D468" s="1"/>
      <c r="E468" s="1"/>
      <c r="K468" s="203"/>
      <c r="M468" s="646"/>
      <c r="O468" s="426"/>
    </row>
    <row r="469" spans="2:15" s="168" customFormat="1" ht="25" customHeight="1">
      <c r="B469" s="119"/>
      <c r="C469" s="1"/>
      <c r="D469" s="1"/>
      <c r="E469" s="1"/>
      <c r="K469" s="203"/>
      <c r="M469" s="646"/>
      <c r="O469" s="426"/>
    </row>
    <row r="470" spans="2:15" s="168" customFormat="1" ht="25" customHeight="1">
      <c r="B470" s="119"/>
      <c r="C470" s="1"/>
      <c r="D470" s="1"/>
      <c r="E470" s="1"/>
      <c r="K470" s="203"/>
      <c r="M470" s="646"/>
      <c r="O470" s="426"/>
    </row>
    <row r="471" spans="2:15" s="168" customFormat="1" ht="25" customHeight="1">
      <c r="B471" s="119"/>
      <c r="C471" s="1"/>
      <c r="D471" s="1"/>
      <c r="E471" s="1"/>
      <c r="K471" s="203"/>
      <c r="M471" s="646"/>
      <c r="O471" s="426"/>
    </row>
    <row r="472" spans="2:15" s="168" customFormat="1" ht="25" customHeight="1">
      <c r="B472" s="119"/>
      <c r="C472" s="1"/>
      <c r="D472" s="1"/>
      <c r="E472" s="1"/>
      <c r="K472" s="203"/>
      <c r="M472" s="646"/>
      <c r="O472" s="426"/>
    </row>
    <row r="473" spans="2:15" s="168" customFormat="1" ht="25" customHeight="1">
      <c r="B473" s="119"/>
      <c r="C473" s="1"/>
      <c r="D473" s="1"/>
      <c r="E473" s="1"/>
      <c r="K473" s="203"/>
      <c r="M473" s="646"/>
      <c r="O473" s="426"/>
    </row>
    <row r="474" spans="2:15" s="168" customFormat="1" ht="25" customHeight="1">
      <c r="B474" s="119"/>
      <c r="C474" s="1"/>
      <c r="D474" s="1"/>
      <c r="E474" s="1"/>
      <c r="K474" s="203"/>
      <c r="M474" s="646"/>
      <c r="O474" s="426"/>
    </row>
    <row r="475" spans="2:15" s="168" customFormat="1" ht="25" customHeight="1">
      <c r="B475" s="119"/>
      <c r="C475" s="1"/>
      <c r="D475" s="1"/>
      <c r="E475" s="1"/>
      <c r="K475" s="203"/>
      <c r="M475" s="646"/>
      <c r="O475" s="426"/>
    </row>
    <row r="476" spans="2:15" s="168" customFormat="1" ht="25" customHeight="1">
      <c r="B476" s="119"/>
      <c r="C476" s="1"/>
      <c r="D476" s="1"/>
      <c r="E476" s="1"/>
      <c r="K476" s="203"/>
      <c r="M476" s="646"/>
      <c r="O476" s="426"/>
    </row>
    <row r="477" spans="2:15" s="168" customFormat="1" ht="25" customHeight="1">
      <c r="B477" s="119"/>
      <c r="C477" s="1"/>
      <c r="D477" s="1"/>
      <c r="E477" s="1"/>
      <c r="K477" s="203"/>
      <c r="M477" s="646"/>
      <c r="O477" s="426"/>
    </row>
    <row r="478" spans="2:15" s="168" customFormat="1" ht="25" customHeight="1">
      <c r="B478" s="119"/>
      <c r="C478" s="1"/>
      <c r="D478" s="1"/>
      <c r="E478" s="1"/>
      <c r="K478" s="203"/>
      <c r="M478" s="646"/>
      <c r="O478" s="426"/>
    </row>
    <row r="479" spans="2:15" s="168" customFormat="1" ht="25" customHeight="1">
      <c r="B479" s="119"/>
      <c r="C479" s="1"/>
      <c r="D479" s="1"/>
      <c r="E479" s="1"/>
      <c r="K479" s="203"/>
      <c r="M479" s="646"/>
      <c r="O479" s="426"/>
    </row>
    <row r="480" spans="2:15" s="168" customFormat="1" ht="25" customHeight="1">
      <c r="B480" s="119"/>
      <c r="C480" s="1"/>
      <c r="D480" s="1"/>
      <c r="E480" s="1"/>
      <c r="K480" s="203"/>
      <c r="M480" s="646"/>
      <c r="O480" s="426"/>
    </row>
    <row r="481" spans="2:15" s="168" customFormat="1" ht="25" customHeight="1">
      <c r="B481" s="119"/>
      <c r="C481" s="1"/>
      <c r="D481" s="1"/>
      <c r="E481" s="1"/>
      <c r="K481" s="203"/>
      <c r="M481" s="646"/>
      <c r="O481" s="426"/>
    </row>
    <row r="482" spans="2:15" s="168" customFormat="1" ht="25" customHeight="1">
      <c r="B482" s="119"/>
      <c r="C482" s="1"/>
      <c r="D482" s="1"/>
      <c r="E482" s="1"/>
      <c r="K482" s="203"/>
      <c r="M482" s="646"/>
      <c r="O482" s="426"/>
    </row>
    <row r="483" spans="2:15" s="168" customFormat="1" ht="25" customHeight="1">
      <c r="B483" s="119"/>
      <c r="C483" s="1"/>
      <c r="D483" s="1"/>
      <c r="E483" s="1"/>
      <c r="K483" s="203"/>
      <c r="M483" s="646"/>
      <c r="O483" s="426"/>
    </row>
    <row r="484" spans="2:15" s="168" customFormat="1" ht="25" customHeight="1">
      <c r="B484" s="119"/>
      <c r="C484" s="1"/>
      <c r="D484" s="1"/>
      <c r="E484" s="1"/>
      <c r="K484" s="203"/>
      <c r="M484" s="646"/>
      <c r="O484" s="426"/>
    </row>
    <row r="485" spans="2:15" s="168" customFormat="1" ht="25" customHeight="1">
      <c r="B485" s="119"/>
      <c r="C485" s="1"/>
      <c r="D485" s="1"/>
      <c r="E485" s="1"/>
      <c r="K485" s="203"/>
      <c r="M485" s="646"/>
      <c r="O485" s="426"/>
    </row>
    <row r="486" spans="2:15" s="168" customFormat="1" ht="25" customHeight="1">
      <c r="B486" s="119"/>
      <c r="C486" s="1"/>
      <c r="D486" s="1"/>
      <c r="E486" s="1"/>
      <c r="K486" s="203"/>
      <c r="M486" s="646"/>
      <c r="O486" s="426"/>
    </row>
    <row r="487" spans="2:15" s="168" customFormat="1" ht="25" customHeight="1">
      <c r="B487" s="119"/>
      <c r="C487" s="1"/>
      <c r="D487" s="1"/>
      <c r="E487" s="1"/>
      <c r="K487" s="203"/>
      <c r="M487" s="646"/>
      <c r="O487" s="426"/>
    </row>
    <row r="488" spans="2:15" s="168" customFormat="1" ht="25" customHeight="1">
      <c r="B488" s="119"/>
      <c r="C488" s="1"/>
      <c r="D488" s="1"/>
      <c r="E488" s="1"/>
      <c r="K488" s="203"/>
      <c r="M488" s="646"/>
      <c r="O488" s="426"/>
    </row>
    <row r="489" spans="2:15" s="168" customFormat="1" ht="25" customHeight="1">
      <c r="B489" s="119"/>
      <c r="C489" s="1"/>
      <c r="D489" s="1"/>
      <c r="E489" s="1"/>
      <c r="K489" s="203"/>
      <c r="M489" s="646"/>
      <c r="O489" s="426"/>
    </row>
    <row r="490" spans="2:15" s="168" customFormat="1" ht="25" customHeight="1">
      <c r="B490" s="119"/>
      <c r="C490" s="1"/>
      <c r="D490" s="1"/>
      <c r="E490" s="1"/>
      <c r="K490" s="203"/>
      <c r="M490" s="646"/>
      <c r="O490" s="426"/>
    </row>
    <row r="491" spans="2:15" s="168" customFormat="1" ht="25" customHeight="1">
      <c r="B491" s="119"/>
      <c r="C491" s="1"/>
      <c r="D491" s="1"/>
      <c r="E491" s="1"/>
      <c r="K491" s="203"/>
      <c r="M491" s="646"/>
      <c r="O491" s="426"/>
    </row>
    <row r="492" spans="2:15" s="168" customFormat="1" ht="25" customHeight="1">
      <c r="B492" s="119"/>
      <c r="C492" s="1"/>
      <c r="D492" s="1"/>
      <c r="E492" s="1"/>
      <c r="K492" s="203"/>
      <c r="M492" s="646"/>
      <c r="O492" s="426"/>
    </row>
    <row r="493" spans="2:15" s="168" customFormat="1" ht="25" customHeight="1">
      <c r="B493" s="119"/>
      <c r="C493" s="1"/>
      <c r="D493" s="1"/>
      <c r="E493" s="1"/>
      <c r="K493" s="203"/>
      <c r="M493" s="646"/>
      <c r="O493" s="426"/>
    </row>
    <row r="494" spans="2:15" s="168" customFormat="1" ht="25" customHeight="1">
      <c r="B494" s="119"/>
      <c r="C494" s="1"/>
      <c r="D494" s="1"/>
      <c r="E494" s="1"/>
      <c r="K494" s="203"/>
      <c r="M494" s="646"/>
      <c r="O494" s="426"/>
    </row>
    <row r="495" spans="2:15" s="168" customFormat="1" ht="25" customHeight="1">
      <c r="B495" s="119"/>
      <c r="C495" s="1"/>
      <c r="D495" s="1"/>
      <c r="E495" s="1"/>
      <c r="K495" s="203"/>
      <c r="M495" s="646"/>
      <c r="O495" s="426"/>
    </row>
    <row r="496" spans="2:15" s="168" customFormat="1" ht="25" customHeight="1">
      <c r="B496" s="119"/>
      <c r="C496" s="1"/>
      <c r="D496" s="1"/>
      <c r="E496" s="1"/>
      <c r="K496" s="203"/>
      <c r="M496" s="646"/>
      <c r="O496" s="426"/>
    </row>
    <row r="497" spans="2:15" s="168" customFormat="1" ht="25" customHeight="1">
      <c r="B497" s="119"/>
      <c r="C497" s="1"/>
      <c r="D497" s="1"/>
      <c r="E497" s="1"/>
      <c r="K497" s="203"/>
      <c r="M497" s="646"/>
      <c r="O497" s="426"/>
    </row>
    <row r="498" spans="2:15" s="168" customFormat="1" ht="25" customHeight="1">
      <c r="B498" s="119"/>
      <c r="C498" s="1"/>
      <c r="D498" s="1"/>
      <c r="E498" s="1"/>
      <c r="K498" s="203"/>
      <c r="M498" s="646"/>
      <c r="O498" s="426"/>
    </row>
    <row r="499" spans="2:15" s="168" customFormat="1" ht="25" customHeight="1">
      <c r="B499" s="119"/>
      <c r="C499" s="1"/>
      <c r="D499" s="1"/>
      <c r="E499" s="1"/>
      <c r="K499" s="203"/>
      <c r="M499" s="646"/>
      <c r="O499" s="426"/>
    </row>
    <row r="500" spans="2:15" s="168" customFormat="1" ht="25" customHeight="1">
      <c r="B500" s="119"/>
      <c r="C500" s="1"/>
      <c r="D500" s="1"/>
      <c r="E500" s="1"/>
      <c r="K500" s="203"/>
      <c r="M500" s="646"/>
      <c r="O500" s="426"/>
    </row>
    <row r="501" spans="2:15" s="168" customFormat="1" ht="25" customHeight="1">
      <c r="B501" s="119"/>
      <c r="C501" s="1"/>
      <c r="D501" s="1"/>
      <c r="E501" s="1"/>
      <c r="K501" s="203"/>
      <c r="M501" s="646"/>
      <c r="O501" s="426"/>
    </row>
    <row r="502" spans="2:15" s="168" customFormat="1" ht="25" customHeight="1">
      <c r="B502" s="119"/>
      <c r="C502" s="1"/>
      <c r="D502" s="1"/>
      <c r="E502" s="1"/>
      <c r="K502" s="203"/>
      <c r="M502" s="646"/>
      <c r="O502" s="426"/>
    </row>
    <row r="503" spans="2:15" s="168" customFormat="1" ht="25" customHeight="1">
      <c r="B503" s="119"/>
      <c r="C503" s="1"/>
      <c r="D503" s="1"/>
      <c r="E503" s="1"/>
      <c r="K503" s="203"/>
      <c r="M503" s="646"/>
      <c r="O503" s="426"/>
    </row>
    <row r="504" spans="2:15" s="168" customFormat="1" ht="25" customHeight="1">
      <c r="B504" s="119"/>
      <c r="C504" s="1"/>
      <c r="D504" s="1"/>
      <c r="E504" s="1"/>
      <c r="K504" s="203"/>
      <c r="M504" s="646"/>
      <c r="O504" s="426"/>
    </row>
    <row r="505" spans="2:15" s="168" customFormat="1" ht="25" customHeight="1">
      <c r="B505" s="119"/>
      <c r="C505" s="1"/>
      <c r="D505" s="1"/>
      <c r="E505" s="1"/>
      <c r="K505" s="203"/>
      <c r="M505" s="646"/>
      <c r="O505" s="426"/>
    </row>
    <row r="506" spans="2:15" s="168" customFormat="1" ht="25" customHeight="1">
      <c r="B506" s="119"/>
      <c r="C506" s="1"/>
      <c r="D506" s="1"/>
      <c r="E506" s="1"/>
      <c r="K506" s="203"/>
      <c r="M506" s="646"/>
      <c r="O506" s="426"/>
    </row>
    <row r="507" spans="2:15" s="168" customFormat="1" ht="25" customHeight="1">
      <c r="B507" s="119"/>
      <c r="C507" s="1"/>
      <c r="D507" s="1"/>
      <c r="E507" s="1"/>
      <c r="K507" s="203"/>
      <c r="M507" s="646"/>
      <c r="O507" s="426"/>
    </row>
    <row r="508" spans="2:15" s="168" customFormat="1" ht="25" customHeight="1">
      <c r="B508" s="119"/>
      <c r="C508" s="1"/>
      <c r="D508" s="1"/>
      <c r="E508" s="1"/>
      <c r="K508" s="203"/>
      <c r="M508" s="646"/>
      <c r="O508" s="426"/>
    </row>
    <row r="509" spans="2:15" s="168" customFormat="1" ht="25" customHeight="1">
      <c r="B509" s="119"/>
      <c r="C509" s="1"/>
      <c r="D509" s="1"/>
      <c r="E509" s="1"/>
      <c r="K509" s="203"/>
      <c r="M509" s="646"/>
      <c r="O509" s="426"/>
    </row>
    <row r="510" spans="2:15" s="168" customFormat="1" ht="25" customHeight="1">
      <c r="B510" s="119"/>
      <c r="C510" s="1"/>
      <c r="D510" s="1"/>
      <c r="E510" s="1"/>
      <c r="K510" s="203"/>
      <c r="M510" s="646"/>
      <c r="O510" s="426"/>
    </row>
    <row r="511" spans="2:15" s="168" customFormat="1" ht="25" customHeight="1">
      <c r="B511" s="119"/>
      <c r="C511" s="1"/>
      <c r="D511" s="1"/>
      <c r="E511" s="1"/>
      <c r="K511" s="203"/>
      <c r="M511" s="646"/>
      <c r="O511" s="426"/>
    </row>
    <row r="512" spans="2:15" s="168" customFormat="1" ht="25" customHeight="1">
      <c r="B512" s="119"/>
      <c r="C512" s="1"/>
      <c r="D512" s="1"/>
      <c r="E512" s="1"/>
      <c r="K512" s="203"/>
      <c r="M512" s="646"/>
      <c r="O512" s="426"/>
    </row>
    <row r="513" spans="2:15" s="168" customFormat="1" ht="25" customHeight="1">
      <c r="B513" s="119"/>
      <c r="C513" s="1"/>
      <c r="D513" s="1"/>
      <c r="E513" s="1"/>
      <c r="K513" s="203"/>
      <c r="M513" s="646"/>
      <c r="O513" s="426"/>
    </row>
    <row r="514" spans="2:15" s="168" customFormat="1" ht="25" customHeight="1">
      <c r="B514" s="119"/>
      <c r="C514" s="1"/>
      <c r="D514" s="1"/>
      <c r="E514" s="1"/>
      <c r="K514" s="203"/>
      <c r="M514" s="646"/>
      <c r="O514" s="426"/>
    </row>
    <row r="515" spans="2:15" s="168" customFormat="1" ht="25" customHeight="1">
      <c r="B515" s="119"/>
      <c r="C515" s="1"/>
      <c r="D515" s="1"/>
      <c r="E515" s="1"/>
      <c r="K515" s="203"/>
      <c r="M515" s="646"/>
      <c r="O515" s="426"/>
    </row>
    <row r="516" spans="2:15" s="168" customFormat="1" ht="25" customHeight="1">
      <c r="B516" s="119"/>
      <c r="C516" s="1"/>
      <c r="D516" s="1"/>
      <c r="E516" s="1"/>
      <c r="K516" s="203"/>
      <c r="M516" s="646"/>
      <c r="O516" s="426"/>
    </row>
    <row r="517" spans="2:15" s="168" customFormat="1" ht="25" customHeight="1">
      <c r="B517" s="119"/>
      <c r="C517" s="1"/>
      <c r="D517" s="1"/>
      <c r="E517" s="1"/>
      <c r="K517" s="203"/>
      <c r="M517" s="646"/>
      <c r="O517" s="426"/>
    </row>
    <row r="518" spans="2:15" s="168" customFormat="1" ht="25" customHeight="1">
      <c r="B518" s="119"/>
      <c r="C518" s="1"/>
      <c r="D518" s="1"/>
      <c r="E518" s="1"/>
      <c r="K518" s="203"/>
      <c r="M518" s="646"/>
      <c r="O518" s="426"/>
    </row>
    <row r="519" spans="2:15" s="168" customFormat="1" ht="25" customHeight="1">
      <c r="B519" s="119"/>
      <c r="C519" s="1"/>
      <c r="D519" s="1"/>
      <c r="E519" s="1"/>
      <c r="K519" s="203"/>
      <c r="M519" s="646"/>
      <c r="O519" s="426"/>
    </row>
    <row r="520" spans="2:15" s="168" customFormat="1" ht="25" customHeight="1">
      <c r="B520" s="119"/>
      <c r="C520" s="1"/>
      <c r="D520" s="1"/>
      <c r="E520" s="1"/>
      <c r="K520" s="203"/>
      <c r="M520" s="646"/>
      <c r="O520" s="426"/>
    </row>
    <row r="521" spans="2:15" s="168" customFormat="1" ht="25" customHeight="1">
      <c r="B521" s="119"/>
      <c r="C521" s="1"/>
      <c r="D521" s="1"/>
      <c r="E521" s="1"/>
      <c r="K521" s="203"/>
      <c r="M521" s="646"/>
      <c r="O521" s="426"/>
    </row>
    <row r="522" spans="2:15" s="168" customFormat="1" ht="25" customHeight="1">
      <c r="B522" s="119"/>
      <c r="C522" s="1"/>
      <c r="D522" s="1"/>
      <c r="E522" s="1"/>
      <c r="K522" s="203"/>
      <c r="M522" s="646"/>
      <c r="O522" s="426"/>
    </row>
    <row r="523" spans="2:15" s="168" customFormat="1" ht="25" customHeight="1">
      <c r="B523" s="119"/>
      <c r="C523" s="1"/>
      <c r="D523" s="1"/>
      <c r="E523" s="1"/>
      <c r="K523" s="203"/>
      <c r="M523" s="646"/>
      <c r="O523" s="426"/>
    </row>
    <row r="524" spans="2:15" s="168" customFormat="1" ht="25" customHeight="1">
      <c r="B524" s="119"/>
      <c r="C524" s="1"/>
      <c r="D524" s="1"/>
      <c r="E524" s="1"/>
      <c r="K524" s="203"/>
      <c r="M524" s="646"/>
      <c r="O524" s="426"/>
    </row>
    <row r="525" spans="2:15" s="168" customFormat="1" ht="25" customHeight="1">
      <c r="B525" s="119"/>
      <c r="C525" s="1"/>
      <c r="D525" s="1"/>
      <c r="E525" s="1"/>
      <c r="K525" s="203"/>
      <c r="M525" s="646"/>
      <c r="O525" s="426"/>
    </row>
    <row r="526" spans="2:15" s="168" customFormat="1" ht="25" customHeight="1">
      <c r="B526" s="119"/>
      <c r="C526" s="1"/>
      <c r="D526" s="1"/>
      <c r="E526" s="1"/>
      <c r="K526" s="203"/>
      <c r="M526" s="646"/>
      <c r="O526" s="426"/>
    </row>
    <row r="527" spans="2:15" s="168" customFormat="1" ht="25" customHeight="1">
      <c r="B527" s="119"/>
      <c r="C527" s="1"/>
      <c r="D527" s="1"/>
      <c r="E527" s="1"/>
      <c r="K527" s="203"/>
      <c r="M527" s="646"/>
      <c r="O527" s="426"/>
    </row>
    <row r="528" spans="2:15" s="168" customFormat="1" ht="25" customHeight="1">
      <c r="B528" s="119"/>
      <c r="C528" s="1"/>
      <c r="D528" s="1"/>
      <c r="E528" s="1"/>
      <c r="K528" s="203"/>
      <c r="M528" s="646"/>
      <c r="O528" s="426"/>
    </row>
    <row r="529" spans="2:15" s="168" customFormat="1" ht="25" customHeight="1">
      <c r="B529" s="119"/>
      <c r="C529" s="1"/>
      <c r="D529" s="1"/>
      <c r="E529" s="1"/>
      <c r="K529" s="203"/>
      <c r="M529" s="646"/>
      <c r="O529" s="426"/>
    </row>
    <row r="530" spans="2:15" s="168" customFormat="1" ht="25" customHeight="1">
      <c r="B530" s="119"/>
      <c r="C530" s="1"/>
      <c r="D530" s="1"/>
      <c r="E530" s="1"/>
      <c r="K530" s="203"/>
      <c r="M530" s="646"/>
      <c r="O530" s="426"/>
    </row>
    <row r="531" spans="2:15" s="168" customFormat="1" ht="25" customHeight="1">
      <c r="B531" s="119"/>
      <c r="C531" s="1"/>
      <c r="D531" s="1"/>
      <c r="E531" s="1"/>
      <c r="K531" s="203"/>
      <c r="M531" s="646"/>
      <c r="O531" s="426"/>
    </row>
    <row r="532" spans="2:15" s="168" customFormat="1" ht="25" customHeight="1">
      <c r="B532" s="119"/>
      <c r="C532" s="1"/>
      <c r="D532" s="1"/>
      <c r="E532" s="1"/>
      <c r="K532" s="203"/>
      <c r="M532" s="646"/>
      <c r="O532" s="426"/>
    </row>
    <row r="533" spans="2:15" s="168" customFormat="1" ht="25" customHeight="1">
      <c r="B533" s="119"/>
      <c r="C533" s="1"/>
      <c r="D533" s="1"/>
      <c r="E533" s="1"/>
      <c r="K533" s="203"/>
      <c r="M533" s="646"/>
      <c r="O533" s="426"/>
    </row>
    <row r="534" spans="2:15" s="168" customFormat="1" ht="25" customHeight="1">
      <c r="B534" s="119"/>
      <c r="C534" s="1"/>
      <c r="D534" s="1"/>
      <c r="E534" s="1"/>
      <c r="K534" s="203"/>
      <c r="M534" s="646"/>
      <c r="O534" s="426"/>
    </row>
    <row r="535" spans="2:15" s="168" customFormat="1" ht="25" customHeight="1">
      <c r="B535" s="119"/>
      <c r="C535" s="1"/>
      <c r="D535" s="1"/>
      <c r="E535" s="1"/>
      <c r="K535" s="203"/>
      <c r="M535" s="646"/>
      <c r="O535" s="426"/>
    </row>
    <row r="536" spans="2:15" s="168" customFormat="1" ht="25" customHeight="1">
      <c r="B536" s="119"/>
      <c r="C536" s="1"/>
      <c r="D536" s="1"/>
      <c r="E536" s="1"/>
      <c r="K536" s="203"/>
      <c r="M536" s="646"/>
      <c r="O536" s="426"/>
    </row>
    <row r="537" spans="2:15" s="168" customFormat="1" ht="25" customHeight="1">
      <c r="B537" s="119"/>
      <c r="C537" s="1"/>
      <c r="D537" s="1"/>
      <c r="E537" s="1"/>
      <c r="K537" s="203"/>
      <c r="M537" s="646"/>
      <c r="O537" s="426"/>
    </row>
    <row r="538" spans="2:15" s="168" customFormat="1" ht="25" customHeight="1">
      <c r="B538" s="119"/>
      <c r="C538" s="1"/>
      <c r="D538" s="1"/>
      <c r="E538" s="1"/>
      <c r="K538" s="203"/>
      <c r="M538" s="646"/>
      <c r="O538" s="426"/>
    </row>
    <row r="539" spans="2:15" s="168" customFormat="1" ht="25" customHeight="1">
      <c r="B539" s="119"/>
      <c r="C539" s="1"/>
      <c r="D539" s="1"/>
      <c r="E539" s="1"/>
      <c r="K539" s="203"/>
      <c r="M539" s="646"/>
      <c r="O539" s="426"/>
    </row>
    <row r="540" spans="2:15" s="168" customFormat="1" ht="25" customHeight="1">
      <c r="B540" s="119"/>
      <c r="C540" s="1"/>
      <c r="D540" s="1"/>
      <c r="E540" s="1"/>
      <c r="K540" s="203"/>
      <c r="M540" s="646"/>
      <c r="O540" s="426"/>
    </row>
    <row r="541" spans="2:15" s="168" customFormat="1" ht="25" customHeight="1">
      <c r="B541" s="119"/>
      <c r="C541" s="1"/>
      <c r="D541" s="1"/>
      <c r="E541" s="1"/>
      <c r="K541" s="203"/>
      <c r="M541" s="646"/>
      <c r="O541" s="426"/>
    </row>
    <row r="542" spans="2:15" s="168" customFormat="1" ht="25" customHeight="1">
      <c r="B542" s="119"/>
      <c r="C542" s="1"/>
      <c r="D542" s="1"/>
      <c r="E542" s="1"/>
      <c r="K542" s="203"/>
      <c r="M542" s="646"/>
      <c r="O542" s="426"/>
    </row>
    <row r="543" spans="2:15" s="168" customFormat="1" ht="25" customHeight="1">
      <c r="B543" s="119"/>
      <c r="C543" s="1"/>
      <c r="D543" s="1"/>
      <c r="E543" s="1"/>
      <c r="K543" s="203"/>
      <c r="M543" s="646"/>
      <c r="O543" s="426"/>
    </row>
    <row r="544" spans="2:15" s="168" customFormat="1" ht="25" customHeight="1">
      <c r="B544" s="119"/>
      <c r="C544" s="1"/>
      <c r="D544" s="1"/>
      <c r="E544" s="1"/>
      <c r="K544" s="203"/>
      <c r="M544" s="646"/>
      <c r="O544" s="426"/>
    </row>
    <row r="545" spans="2:15" s="168" customFormat="1" ht="25" customHeight="1">
      <c r="B545" s="119"/>
      <c r="C545" s="1"/>
      <c r="D545" s="1"/>
      <c r="E545" s="1"/>
      <c r="K545" s="203"/>
      <c r="M545" s="646"/>
      <c r="O545" s="426"/>
    </row>
    <row r="546" spans="2:15" s="168" customFormat="1" ht="25" customHeight="1">
      <c r="B546" s="119"/>
      <c r="C546" s="1"/>
      <c r="D546" s="1"/>
      <c r="E546" s="1"/>
      <c r="K546" s="203"/>
      <c r="M546" s="646"/>
      <c r="O546" s="426"/>
    </row>
    <row r="547" spans="2:15" s="168" customFormat="1" ht="25" customHeight="1">
      <c r="B547" s="119"/>
      <c r="C547" s="1"/>
      <c r="D547" s="1"/>
      <c r="E547" s="1"/>
      <c r="K547" s="203"/>
      <c r="M547" s="646"/>
      <c r="O547" s="426"/>
    </row>
    <row r="548" spans="2:15" s="168" customFormat="1" ht="25" customHeight="1">
      <c r="B548" s="119"/>
      <c r="C548" s="1"/>
      <c r="D548" s="1"/>
      <c r="E548" s="1"/>
      <c r="K548" s="203"/>
      <c r="M548" s="646"/>
      <c r="O548" s="426"/>
    </row>
    <row r="549" spans="2:15" s="168" customFormat="1" ht="25" customHeight="1">
      <c r="B549" s="119"/>
      <c r="C549" s="1"/>
      <c r="D549" s="1"/>
      <c r="E549" s="1"/>
      <c r="K549" s="203"/>
      <c r="M549" s="646"/>
      <c r="O549" s="426"/>
    </row>
    <row r="550" spans="2:15" s="168" customFormat="1" ht="25" customHeight="1">
      <c r="B550" s="119"/>
      <c r="C550" s="1"/>
      <c r="D550" s="1"/>
      <c r="E550" s="1"/>
      <c r="K550" s="203"/>
      <c r="M550" s="646"/>
      <c r="O550" s="426"/>
    </row>
    <row r="551" spans="2:15" s="168" customFormat="1" ht="25" customHeight="1">
      <c r="B551" s="119"/>
      <c r="C551" s="1"/>
      <c r="D551" s="1"/>
      <c r="E551" s="1"/>
      <c r="K551" s="203"/>
      <c r="M551" s="646"/>
      <c r="O551" s="426"/>
    </row>
    <row r="552" spans="2:15" s="168" customFormat="1" ht="25" customHeight="1">
      <c r="B552" s="119"/>
      <c r="C552" s="1"/>
      <c r="D552" s="1"/>
      <c r="E552" s="1"/>
      <c r="K552" s="203"/>
      <c r="M552" s="646"/>
      <c r="O552" s="426"/>
    </row>
    <row r="553" spans="2:15" s="168" customFormat="1" ht="25" customHeight="1">
      <c r="B553" s="119"/>
      <c r="C553" s="1"/>
      <c r="D553" s="1"/>
      <c r="E553" s="1"/>
      <c r="K553" s="203"/>
      <c r="M553" s="646"/>
      <c r="O553" s="426"/>
    </row>
    <row r="554" spans="2:15" s="168" customFormat="1" ht="25" customHeight="1">
      <c r="B554" s="119"/>
      <c r="C554" s="1"/>
      <c r="D554" s="1"/>
      <c r="E554" s="1"/>
      <c r="K554" s="203"/>
      <c r="M554" s="646"/>
      <c r="O554" s="426"/>
    </row>
    <row r="555" spans="2:15" s="168" customFormat="1" ht="25" customHeight="1">
      <c r="B555" s="119"/>
      <c r="C555" s="1"/>
      <c r="D555" s="1"/>
      <c r="E555" s="1"/>
      <c r="K555" s="203"/>
      <c r="M555" s="646"/>
      <c r="O555" s="426"/>
    </row>
    <row r="556" spans="2:15" s="168" customFormat="1" ht="25" customHeight="1">
      <c r="B556" s="119"/>
      <c r="C556" s="1"/>
      <c r="D556" s="1"/>
      <c r="E556" s="1"/>
      <c r="K556" s="203"/>
      <c r="M556" s="646"/>
      <c r="O556" s="426"/>
    </row>
    <row r="557" spans="2:15" s="168" customFormat="1" ht="25" customHeight="1">
      <c r="B557" s="119"/>
      <c r="C557" s="1"/>
      <c r="D557" s="1"/>
      <c r="E557" s="1"/>
      <c r="K557" s="203"/>
      <c r="M557" s="646"/>
      <c r="O557" s="426"/>
    </row>
    <row r="558" spans="2:15" s="168" customFormat="1" ht="25" customHeight="1">
      <c r="B558" s="119"/>
      <c r="C558" s="1"/>
      <c r="D558" s="1"/>
      <c r="E558" s="1"/>
      <c r="K558" s="203"/>
      <c r="M558" s="646"/>
      <c r="O558" s="426"/>
    </row>
    <row r="559" spans="2:15" s="168" customFormat="1" ht="25" customHeight="1">
      <c r="B559" s="119"/>
      <c r="C559" s="1"/>
      <c r="D559" s="1"/>
      <c r="E559" s="1"/>
      <c r="K559" s="203"/>
      <c r="M559" s="646"/>
      <c r="O559" s="426"/>
    </row>
    <row r="560" spans="2:15" s="168" customFormat="1" ht="25" customHeight="1">
      <c r="B560" s="119"/>
      <c r="C560" s="1"/>
      <c r="D560" s="1"/>
      <c r="E560" s="1"/>
      <c r="K560" s="203"/>
      <c r="M560" s="646"/>
      <c r="O560" s="426"/>
    </row>
    <row r="561" spans="2:15" s="168" customFormat="1" ht="25" customHeight="1">
      <c r="B561" s="119"/>
      <c r="C561" s="1"/>
      <c r="D561" s="1"/>
      <c r="E561" s="1"/>
      <c r="K561" s="203"/>
      <c r="M561" s="646"/>
      <c r="O561" s="426"/>
    </row>
    <row r="562" spans="2:15" s="168" customFormat="1" ht="25" customHeight="1">
      <c r="B562" s="119"/>
      <c r="C562" s="1"/>
      <c r="D562" s="1"/>
      <c r="E562" s="1"/>
      <c r="K562" s="203"/>
      <c r="M562" s="646"/>
      <c r="O562" s="426"/>
    </row>
    <row r="563" spans="2:15" s="168" customFormat="1" ht="25" customHeight="1">
      <c r="B563" s="119"/>
      <c r="C563" s="1"/>
      <c r="D563" s="1"/>
      <c r="E563" s="1"/>
      <c r="K563" s="203"/>
      <c r="M563" s="646"/>
      <c r="O563" s="426"/>
    </row>
    <row r="564" spans="2:15" s="168" customFormat="1" ht="25" customHeight="1">
      <c r="B564" s="119"/>
      <c r="C564" s="1"/>
      <c r="D564" s="1"/>
      <c r="E564" s="1"/>
      <c r="K564" s="203"/>
      <c r="M564" s="646"/>
      <c r="O564" s="426"/>
    </row>
    <row r="565" spans="2:15" s="168" customFormat="1" ht="25" customHeight="1">
      <c r="B565" s="119"/>
      <c r="C565" s="1"/>
      <c r="D565" s="1"/>
      <c r="E565" s="1"/>
      <c r="K565" s="203"/>
      <c r="M565" s="646"/>
      <c r="O565" s="426"/>
    </row>
    <row r="566" spans="2:15" s="168" customFormat="1" ht="25" customHeight="1">
      <c r="B566" s="119"/>
      <c r="C566" s="1"/>
      <c r="D566" s="1"/>
      <c r="E566" s="1"/>
      <c r="K566" s="203"/>
      <c r="M566" s="646"/>
      <c r="O566" s="426"/>
    </row>
    <row r="567" spans="2:15" s="168" customFormat="1" ht="25" customHeight="1">
      <c r="B567" s="119"/>
      <c r="C567" s="1"/>
      <c r="D567" s="1"/>
      <c r="E567" s="1"/>
      <c r="K567" s="203"/>
      <c r="M567" s="646"/>
      <c r="O567" s="426"/>
    </row>
    <row r="568" spans="2:15" s="168" customFormat="1" ht="25" customHeight="1">
      <c r="B568" s="119"/>
      <c r="C568" s="1"/>
      <c r="D568" s="1"/>
      <c r="E568" s="1"/>
      <c r="K568" s="203"/>
      <c r="M568" s="646"/>
      <c r="O568" s="426"/>
    </row>
    <row r="569" spans="2:15" s="168" customFormat="1" ht="25" customHeight="1">
      <c r="B569" s="119"/>
      <c r="C569" s="1"/>
      <c r="D569" s="1"/>
      <c r="E569" s="1"/>
      <c r="K569" s="203"/>
      <c r="M569" s="646"/>
      <c r="O569" s="426"/>
    </row>
    <row r="570" spans="2:15" s="168" customFormat="1" ht="25" customHeight="1">
      <c r="B570" s="119"/>
      <c r="C570" s="1"/>
      <c r="D570" s="1"/>
      <c r="E570" s="1"/>
      <c r="K570" s="203"/>
      <c r="M570" s="646"/>
      <c r="O570" s="426"/>
    </row>
    <row r="571" spans="2:15" s="168" customFormat="1" ht="25" customHeight="1">
      <c r="B571" s="119"/>
      <c r="C571" s="1"/>
      <c r="D571" s="1"/>
      <c r="E571" s="1"/>
      <c r="K571" s="203"/>
      <c r="M571" s="646"/>
      <c r="O571" s="426"/>
    </row>
    <row r="572" spans="2:15" s="168" customFormat="1" ht="25" customHeight="1">
      <c r="B572" s="119"/>
      <c r="C572" s="1"/>
      <c r="D572" s="1"/>
      <c r="E572" s="1"/>
      <c r="K572" s="203"/>
      <c r="M572" s="646"/>
      <c r="O572" s="426"/>
    </row>
    <row r="573" spans="2:15" s="168" customFormat="1" ht="25" customHeight="1">
      <c r="B573" s="119"/>
      <c r="C573" s="1"/>
      <c r="D573" s="1"/>
      <c r="E573" s="1"/>
      <c r="K573" s="203"/>
      <c r="M573" s="646"/>
      <c r="O573" s="426"/>
    </row>
    <row r="574" spans="2:15" s="168" customFormat="1" ht="25" customHeight="1">
      <c r="B574" s="119"/>
      <c r="C574" s="1"/>
      <c r="D574" s="1"/>
      <c r="E574" s="1"/>
      <c r="K574" s="203"/>
      <c r="M574" s="646"/>
      <c r="O574" s="426"/>
    </row>
    <row r="575" spans="2:15" s="168" customFormat="1" ht="25" customHeight="1">
      <c r="B575" s="119"/>
      <c r="C575" s="1"/>
      <c r="D575" s="1"/>
      <c r="E575" s="1"/>
      <c r="K575" s="203"/>
      <c r="M575" s="646"/>
      <c r="O575" s="426"/>
    </row>
    <row r="576" spans="2:15" s="168" customFormat="1" ht="25" customHeight="1">
      <c r="B576" s="119"/>
      <c r="C576" s="1"/>
      <c r="D576" s="1"/>
      <c r="E576" s="1"/>
      <c r="K576" s="203"/>
      <c r="M576" s="646"/>
      <c r="O576" s="426"/>
    </row>
    <row r="577" spans="2:15" s="168" customFormat="1" ht="25" customHeight="1">
      <c r="B577" s="119"/>
      <c r="C577" s="1"/>
      <c r="D577" s="1"/>
      <c r="E577" s="1"/>
      <c r="K577" s="203"/>
      <c r="M577" s="646"/>
      <c r="O577" s="426"/>
    </row>
    <row r="578" spans="2:15" s="168" customFormat="1" ht="25" customHeight="1">
      <c r="B578" s="119"/>
      <c r="C578" s="1"/>
      <c r="D578" s="1"/>
      <c r="E578" s="1"/>
      <c r="K578" s="203"/>
      <c r="M578" s="646"/>
      <c r="O578" s="426"/>
    </row>
    <row r="579" spans="2:15" s="168" customFormat="1" ht="25" customHeight="1">
      <c r="B579" s="119"/>
      <c r="C579" s="1"/>
      <c r="D579" s="1"/>
      <c r="E579" s="1"/>
      <c r="K579" s="203"/>
      <c r="M579" s="646"/>
      <c r="O579" s="426"/>
    </row>
    <row r="580" spans="2:15" s="168" customFormat="1" ht="25" customHeight="1">
      <c r="B580" s="119"/>
      <c r="C580" s="1"/>
      <c r="D580" s="1"/>
      <c r="E580" s="1"/>
      <c r="K580" s="203"/>
      <c r="M580" s="646"/>
      <c r="O580" s="426"/>
    </row>
    <row r="581" spans="2:15" s="168" customFormat="1" ht="25" customHeight="1">
      <c r="B581" s="119"/>
      <c r="C581" s="1"/>
      <c r="D581" s="1"/>
      <c r="E581" s="1"/>
      <c r="K581" s="203"/>
      <c r="M581" s="646"/>
      <c r="O581" s="426"/>
    </row>
    <row r="582" spans="2:15" s="168" customFormat="1" ht="25" customHeight="1">
      <c r="B582" s="119"/>
      <c r="C582" s="1"/>
      <c r="D582" s="1"/>
      <c r="E582" s="1"/>
      <c r="K582" s="203"/>
      <c r="M582" s="646"/>
      <c r="O582" s="426"/>
    </row>
    <row r="583" spans="2:15" s="168" customFormat="1" ht="25" customHeight="1">
      <c r="B583" s="119"/>
      <c r="C583" s="1"/>
      <c r="D583" s="1"/>
      <c r="E583" s="1"/>
      <c r="K583" s="203"/>
      <c r="M583" s="646"/>
      <c r="O583" s="426"/>
    </row>
    <row r="584" spans="2:15" s="168" customFormat="1" ht="25" customHeight="1">
      <c r="B584" s="119"/>
      <c r="C584" s="1"/>
      <c r="D584" s="1"/>
      <c r="E584" s="1"/>
      <c r="K584" s="203"/>
      <c r="M584" s="646"/>
      <c r="O584" s="426"/>
    </row>
    <row r="585" spans="2:15" s="168" customFormat="1" ht="25" customHeight="1">
      <c r="B585" s="119"/>
      <c r="C585" s="1"/>
      <c r="D585" s="1"/>
      <c r="E585" s="1"/>
      <c r="K585" s="203"/>
      <c r="M585" s="646"/>
      <c r="O585" s="426"/>
    </row>
    <row r="586" spans="2:15" s="168" customFormat="1" ht="25" customHeight="1">
      <c r="B586" s="119"/>
      <c r="C586" s="1"/>
      <c r="D586" s="1"/>
      <c r="E586" s="1"/>
      <c r="K586" s="203"/>
      <c r="M586" s="646"/>
      <c r="O586" s="426"/>
    </row>
    <row r="587" spans="2:15" s="168" customFormat="1" ht="25" customHeight="1">
      <c r="B587" s="119"/>
      <c r="C587" s="1"/>
      <c r="D587" s="1"/>
      <c r="E587" s="1"/>
      <c r="K587" s="203"/>
      <c r="M587" s="646"/>
      <c r="O587" s="426"/>
    </row>
    <row r="588" spans="2:15" s="168" customFormat="1" ht="25" customHeight="1">
      <c r="B588" s="119"/>
      <c r="C588" s="1"/>
      <c r="D588" s="1"/>
      <c r="E588" s="1"/>
      <c r="K588" s="203"/>
      <c r="M588" s="646"/>
      <c r="O588" s="426"/>
    </row>
    <row r="589" spans="2:15" s="168" customFormat="1" ht="25" customHeight="1">
      <c r="B589" s="119"/>
      <c r="C589" s="1"/>
      <c r="D589" s="1"/>
      <c r="E589" s="1"/>
      <c r="K589" s="203"/>
      <c r="M589" s="646"/>
      <c r="O589" s="426"/>
    </row>
    <row r="590" spans="2:15" s="168" customFormat="1" ht="25" customHeight="1">
      <c r="B590" s="119"/>
      <c r="C590" s="1"/>
      <c r="D590" s="1"/>
      <c r="E590" s="1"/>
      <c r="K590" s="203"/>
      <c r="M590" s="646"/>
      <c r="O590" s="426"/>
    </row>
    <row r="591" spans="2:15" s="168" customFormat="1" ht="25" customHeight="1">
      <c r="B591" s="119"/>
      <c r="C591" s="1"/>
      <c r="D591" s="1"/>
      <c r="E591" s="1"/>
      <c r="K591" s="203"/>
      <c r="M591" s="646"/>
      <c r="O591" s="426"/>
    </row>
    <row r="592" spans="2:15" s="168" customFormat="1" ht="25" customHeight="1">
      <c r="B592" s="119"/>
      <c r="C592" s="1"/>
      <c r="D592" s="1"/>
      <c r="E592" s="1"/>
      <c r="K592" s="203"/>
      <c r="M592" s="646"/>
      <c r="O592" s="426"/>
    </row>
    <row r="593" spans="2:15" s="168" customFormat="1" ht="25" customHeight="1">
      <c r="B593" s="119"/>
      <c r="C593" s="1"/>
      <c r="D593" s="1"/>
      <c r="E593" s="1"/>
      <c r="K593" s="203"/>
      <c r="M593" s="646"/>
      <c r="O593" s="426"/>
    </row>
    <row r="594" spans="2:15" s="168" customFormat="1" ht="25" customHeight="1">
      <c r="B594" s="119"/>
      <c r="C594" s="1"/>
      <c r="D594" s="1"/>
      <c r="E594" s="1"/>
      <c r="K594" s="203"/>
      <c r="M594" s="646"/>
      <c r="O594" s="426"/>
    </row>
    <row r="595" spans="2:15" s="168" customFormat="1" ht="25" customHeight="1">
      <c r="B595" s="119"/>
      <c r="C595" s="1"/>
      <c r="D595" s="1"/>
      <c r="E595" s="1"/>
      <c r="K595" s="203"/>
      <c r="M595" s="646"/>
      <c r="O595" s="426"/>
    </row>
    <row r="596" spans="2:15" s="168" customFormat="1" ht="25" customHeight="1">
      <c r="B596" s="119"/>
      <c r="C596" s="1"/>
      <c r="D596" s="1"/>
      <c r="E596" s="1"/>
      <c r="K596" s="203"/>
      <c r="M596" s="646"/>
      <c r="O596" s="426"/>
    </row>
    <row r="597" spans="2:15" s="168" customFormat="1" ht="25" customHeight="1">
      <c r="B597" s="119"/>
      <c r="C597" s="1"/>
      <c r="D597" s="1"/>
      <c r="E597" s="1"/>
      <c r="K597" s="203"/>
      <c r="M597" s="646"/>
      <c r="O597" s="426"/>
    </row>
    <row r="598" spans="2:15" s="168" customFormat="1" ht="25" customHeight="1">
      <c r="B598" s="119"/>
      <c r="C598" s="1"/>
      <c r="D598" s="1"/>
      <c r="E598" s="1"/>
      <c r="K598" s="203"/>
      <c r="M598" s="646"/>
      <c r="O598" s="426"/>
    </row>
    <row r="599" spans="2:15" s="168" customFormat="1" ht="25" customHeight="1">
      <c r="B599" s="119"/>
      <c r="C599" s="1"/>
      <c r="D599" s="1"/>
      <c r="E599" s="1"/>
      <c r="K599" s="203"/>
      <c r="M599" s="646"/>
      <c r="O599" s="426"/>
    </row>
    <row r="600" spans="2:15" s="168" customFormat="1" ht="25" customHeight="1">
      <c r="B600" s="119"/>
      <c r="C600" s="1"/>
      <c r="D600" s="1"/>
      <c r="E600" s="1"/>
      <c r="K600" s="203"/>
      <c r="M600" s="646"/>
      <c r="O600" s="426"/>
    </row>
    <row r="601" spans="2:15" s="168" customFormat="1" ht="25" customHeight="1">
      <c r="B601" s="119"/>
      <c r="C601" s="1"/>
      <c r="D601" s="1"/>
      <c r="E601" s="1"/>
      <c r="K601" s="203"/>
      <c r="M601" s="646"/>
      <c r="O601" s="426"/>
    </row>
    <row r="602" spans="2:15" s="168" customFormat="1" ht="25" customHeight="1">
      <c r="B602" s="119"/>
      <c r="C602" s="1"/>
      <c r="D602" s="1"/>
      <c r="E602" s="1"/>
      <c r="K602" s="203"/>
      <c r="M602" s="646"/>
      <c r="O602" s="426"/>
    </row>
    <row r="603" spans="2:15" s="168" customFormat="1" ht="25" customHeight="1">
      <c r="B603" s="119"/>
      <c r="C603" s="1"/>
      <c r="D603" s="1"/>
      <c r="E603" s="1"/>
      <c r="K603" s="203"/>
      <c r="M603" s="646"/>
      <c r="O603" s="426"/>
    </row>
    <row r="604" spans="2:15" s="168" customFormat="1" ht="25" customHeight="1">
      <c r="B604" s="119"/>
      <c r="C604" s="1"/>
      <c r="D604" s="1"/>
      <c r="E604" s="1"/>
      <c r="K604" s="203"/>
      <c r="M604" s="646"/>
      <c r="O604" s="426"/>
    </row>
    <row r="605" spans="2:15" s="168" customFormat="1" ht="25" customHeight="1">
      <c r="B605" s="119"/>
      <c r="C605" s="1"/>
      <c r="D605" s="1"/>
      <c r="E605" s="1"/>
      <c r="K605" s="203"/>
      <c r="M605" s="646"/>
      <c r="O605" s="426"/>
    </row>
    <row r="606" spans="2:15" s="168" customFormat="1" ht="25" customHeight="1">
      <c r="B606" s="119"/>
      <c r="C606" s="1"/>
      <c r="D606" s="1"/>
      <c r="E606" s="1"/>
      <c r="K606" s="203"/>
      <c r="M606" s="646"/>
      <c r="O606" s="426"/>
    </row>
    <row r="607" spans="2:15" s="168" customFormat="1" ht="25" customHeight="1">
      <c r="B607" s="119"/>
      <c r="C607" s="1"/>
      <c r="D607" s="1"/>
      <c r="E607" s="1"/>
      <c r="K607" s="203"/>
      <c r="M607" s="646"/>
      <c r="O607" s="426"/>
    </row>
    <row r="608" spans="2:15" s="168" customFormat="1" ht="25" customHeight="1">
      <c r="B608" s="119"/>
      <c r="C608" s="1"/>
      <c r="D608" s="1"/>
      <c r="E608" s="1"/>
      <c r="K608" s="203"/>
      <c r="M608" s="646"/>
      <c r="O608" s="426"/>
    </row>
    <row r="609" spans="2:15" s="168" customFormat="1" ht="25" customHeight="1">
      <c r="B609" s="119"/>
      <c r="C609" s="1"/>
      <c r="D609" s="1"/>
      <c r="E609" s="1"/>
      <c r="K609" s="203"/>
      <c r="M609" s="646"/>
      <c r="O609" s="426"/>
    </row>
    <row r="610" spans="2:15" s="168" customFormat="1" ht="25" customHeight="1">
      <c r="B610" s="119"/>
      <c r="C610" s="1"/>
      <c r="D610" s="1"/>
      <c r="E610" s="1"/>
      <c r="K610" s="203"/>
      <c r="M610" s="646"/>
      <c r="O610" s="426"/>
    </row>
    <row r="611" spans="2:15" s="168" customFormat="1" ht="25" customHeight="1">
      <c r="B611" s="119"/>
      <c r="C611" s="1"/>
      <c r="D611" s="1"/>
      <c r="E611" s="1"/>
      <c r="K611" s="203"/>
      <c r="M611" s="646"/>
      <c r="O611" s="426"/>
    </row>
    <row r="612" spans="2:15" s="168" customFormat="1" ht="25" customHeight="1">
      <c r="B612" s="119"/>
      <c r="C612" s="1"/>
      <c r="D612" s="1"/>
      <c r="E612" s="1"/>
      <c r="K612" s="203"/>
      <c r="M612" s="646"/>
      <c r="O612" s="426"/>
    </row>
    <row r="613" spans="2:15" s="168" customFormat="1" ht="25" customHeight="1">
      <c r="B613" s="119"/>
      <c r="C613" s="1"/>
      <c r="D613" s="1"/>
      <c r="E613" s="1"/>
      <c r="K613" s="203"/>
      <c r="M613" s="646"/>
      <c r="O613" s="426"/>
    </row>
    <row r="614" spans="2:15" s="168" customFormat="1" ht="25" customHeight="1">
      <c r="B614" s="119"/>
      <c r="C614" s="1"/>
      <c r="D614" s="1"/>
      <c r="E614" s="1"/>
      <c r="K614" s="203"/>
      <c r="M614" s="646"/>
      <c r="O614" s="426"/>
    </row>
    <row r="615" spans="2:15" s="168" customFormat="1" ht="25" customHeight="1">
      <c r="B615" s="119"/>
      <c r="C615" s="1"/>
      <c r="D615" s="1"/>
      <c r="E615" s="1"/>
      <c r="K615" s="203"/>
      <c r="M615" s="646"/>
      <c r="O615" s="426"/>
    </row>
    <row r="616" spans="2:15" s="168" customFormat="1" ht="25" customHeight="1">
      <c r="B616" s="119"/>
      <c r="C616" s="1"/>
      <c r="D616" s="1"/>
      <c r="E616" s="1"/>
      <c r="K616" s="203"/>
      <c r="M616" s="646"/>
      <c r="O616" s="426"/>
    </row>
    <row r="617" spans="2:15" s="168" customFormat="1" ht="25" customHeight="1">
      <c r="B617" s="119"/>
      <c r="C617" s="1"/>
      <c r="D617" s="1"/>
      <c r="E617" s="1"/>
      <c r="K617" s="203"/>
      <c r="M617" s="646"/>
      <c r="O617" s="426"/>
    </row>
    <row r="618" spans="2:15" s="168" customFormat="1" ht="25" customHeight="1">
      <c r="B618" s="119"/>
      <c r="C618" s="1"/>
      <c r="D618" s="1"/>
      <c r="E618" s="1"/>
      <c r="K618" s="203"/>
      <c r="M618" s="646"/>
      <c r="O618" s="42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622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78"/>
      <c r="C4" s="1078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614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264</v>
      </c>
      <c r="C8" s="1016"/>
      <c r="D8" s="70" t="s">
        <v>201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441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72" t="s">
        <v>4</v>
      </c>
      <c r="C15" s="1072"/>
      <c r="D15" s="1072"/>
      <c r="E15" s="1072"/>
      <c r="F15" s="1072"/>
      <c r="G15" s="1072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72"/>
      <c r="C16" s="1072"/>
      <c r="D16" s="1072"/>
      <c r="E16" s="1072"/>
      <c r="F16" s="1072"/>
      <c r="G16" s="1072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72"/>
      <c r="C17" s="1072"/>
      <c r="D17" s="1072"/>
      <c r="E17" s="1072"/>
      <c r="F17" s="1072"/>
      <c r="G17" s="1072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615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75" t="s">
        <v>616</v>
      </c>
      <c r="C19" s="1075"/>
      <c r="D19" s="1075"/>
      <c r="E19" s="1075"/>
      <c r="F19" s="1075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0" t="s">
        <v>401</v>
      </c>
      <c r="C20" s="601"/>
      <c r="D20" s="601"/>
      <c r="E20" s="601"/>
      <c r="F20" s="1011"/>
      <c r="G20" s="754"/>
      <c r="H20" s="755"/>
      <c r="I20" s="754"/>
      <c r="J20" s="756"/>
      <c r="K20" s="951"/>
      <c r="L20" s="757"/>
      <c r="M20" s="758"/>
      <c r="S20" s="752"/>
      <c r="T20" s="752"/>
      <c r="U20" s="752"/>
      <c r="V20" s="752"/>
      <c r="W20" s="759"/>
      <c r="X20" s="9"/>
      <c r="Y20" s="752"/>
      <c r="Z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542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79" t="s">
        <v>656</v>
      </c>
      <c r="C24" s="1079"/>
      <c r="D24" s="1079"/>
      <c r="E24" s="1079"/>
      <c r="M24" s="765"/>
    </row>
    <row r="25" spans="2:26" s="718" customFormat="1" ht="25" customHeight="1">
      <c r="B25" s="478" t="s">
        <v>208</v>
      </c>
      <c r="C25" s="13" t="s">
        <v>10</v>
      </c>
      <c r="D25" s="13" t="s">
        <v>11</v>
      </c>
      <c r="E25" s="1015" t="s">
        <v>449</v>
      </c>
      <c r="F25" s="1015" t="s">
        <v>269</v>
      </c>
      <c r="G25" s="1015" t="s">
        <v>619</v>
      </c>
      <c r="H25" s="766"/>
      <c r="I25" s="767" t="s">
        <v>621</v>
      </c>
      <c r="J25" s="766"/>
      <c r="K25" s="954" t="s">
        <v>215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466</v>
      </c>
      <c r="C26" s="99">
        <v>2</v>
      </c>
      <c r="D26" s="99">
        <v>4</v>
      </c>
      <c r="E26" s="104">
        <v>100</v>
      </c>
      <c r="F26" s="770">
        <f t="shared" ref="F26:F37" si="0">G26/720</f>
        <v>0.66666666666666663</v>
      </c>
      <c r="G26" s="771">
        <f t="shared" ref="G26:G37" si="1">C26*IAAS_vcpu_SEK+D26*IAAS_ram_SEK+E26*IAAS_nvme_SEK</f>
        <v>480</v>
      </c>
      <c r="H26" s="772"/>
      <c r="I26" s="773"/>
      <c r="J26" s="772"/>
      <c r="K26" s="95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467</v>
      </c>
      <c r="C27" s="100">
        <v>2</v>
      </c>
      <c r="D27" s="100">
        <v>4</v>
      </c>
      <c r="E27" s="720">
        <v>500</v>
      </c>
      <c r="F27" s="775">
        <f t="shared" si="0"/>
        <v>1.2222222222222223</v>
      </c>
      <c r="G27" s="776">
        <f t="shared" si="1"/>
        <v>880</v>
      </c>
      <c r="H27" s="777"/>
      <c r="I27" s="773"/>
      <c r="J27" s="777"/>
      <c r="K27" s="95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468</v>
      </c>
      <c r="C28" s="99">
        <v>2</v>
      </c>
      <c r="D28" s="99">
        <v>4</v>
      </c>
      <c r="E28" s="104">
        <v>1000</v>
      </c>
      <c r="F28" s="770">
        <f t="shared" si="0"/>
        <v>1.9166666666666667</v>
      </c>
      <c r="G28" s="771">
        <f t="shared" si="1"/>
        <v>1380</v>
      </c>
      <c r="H28" s="772"/>
      <c r="I28" s="773"/>
      <c r="J28" s="772"/>
      <c r="K28" s="95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469</v>
      </c>
      <c r="C29" s="100">
        <v>4</v>
      </c>
      <c r="D29" s="100">
        <v>8</v>
      </c>
      <c r="E29" s="720">
        <v>100</v>
      </c>
      <c r="F29" s="775">
        <f t="shared" si="0"/>
        <v>1.1944444444444444</v>
      </c>
      <c r="G29" s="776">
        <f t="shared" si="1"/>
        <v>860</v>
      </c>
      <c r="H29" s="777"/>
      <c r="I29" s="773"/>
      <c r="J29" s="777"/>
      <c r="K29" s="956">
        <f t="shared" si="2"/>
        <v>0</v>
      </c>
      <c r="M29" s="774"/>
      <c r="P29" s="759"/>
      <c r="R29" s="759"/>
    </row>
    <row r="30" spans="2:26" s="752" customFormat="1" ht="25" customHeight="1">
      <c r="B30" s="484" t="s">
        <v>470</v>
      </c>
      <c r="C30" s="99">
        <v>4</v>
      </c>
      <c r="D30" s="99">
        <v>8</v>
      </c>
      <c r="E30" s="104">
        <v>500</v>
      </c>
      <c r="F30" s="770">
        <f t="shared" si="0"/>
        <v>1.75</v>
      </c>
      <c r="G30" s="771">
        <f t="shared" si="1"/>
        <v>1260</v>
      </c>
      <c r="H30" s="772"/>
      <c r="I30" s="773"/>
      <c r="J30" s="772"/>
      <c r="K30" s="955">
        <f t="shared" si="2"/>
        <v>0</v>
      </c>
      <c r="M30" s="774"/>
      <c r="P30" s="759"/>
      <c r="R30" s="759"/>
    </row>
    <row r="31" spans="2:26" s="752" customFormat="1" ht="25" customHeight="1">
      <c r="B31" s="485" t="s">
        <v>471</v>
      </c>
      <c r="C31" s="100">
        <v>4</v>
      </c>
      <c r="D31" s="100">
        <v>8</v>
      </c>
      <c r="E31" s="720">
        <v>1000</v>
      </c>
      <c r="F31" s="775">
        <f t="shared" si="0"/>
        <v>2.4444444444444446</v>
      </c>
      <c r="G31" s="776">
        <f t="shared" si="1"/>
        <v>1760</v>
      </c>
      <c r="H31" s="777"/>
      <c r="I31" s="773"/>
      <c r="J31" s="777"/>
      <c r="K31" s="95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472</v>
      </c>
      <c r="C32" s="99">
        <v>8</v>
      </c>
      <c r="D32" s="99">
        <v>16</v>
      </c>
      <c r="E32" s="104">
        <v>100</v>
      </c>
      <c r="F32" s="770">
        <f t="shared" si="0"/>
        <v>2.25</v>
      </c>
      <c r="G32" s="771">
        <f t="shared" si="1"/>
        <v>1620</v>
      </c>
      <c r="H32" s="772"/>
      <c r="I32" s="773"/>
      <c r="J32" s="772"/>
      <c r="K32" s="955">
        <f t="shared" si="2"/>
        <v>0</v>
      </c>
      <c r="M32" s="774"/>
      <c r="P32" s="759"/>
      <c r="R32" s="759"/>
    </row>
    <row r="33" spans="2:18" s="752" customFormat="1" ht="25" customHeight="1">
      <c r="B33" s="485" t="s">
        <v>473</v>
      </c>
      <c r="C33" s="100">
        <v>8</v>
      </c>
      <c r="D33" s="100">
        <v>16</v>
      </c>
      <c r="E33" s="720">
        <v>500</v>
      </c>
      <c r="F33" s="775">
        <f t="shared" si="0"/>
        <v>2.8055555555555554</v>
      </c>
      <c r="G33" s="776">
        <f t="shared" si="1"/>
        <v>2020</v>
      </c>
      <c r="H33" s="777"/>
      <c r="I33" s="773"/>
      <c r="J33" s="777"/>
      <c r="K33" s="956">
        <f t="shared" si="2"/>
        <v>0</v>
      </c>
      <c r="M33" s="774"/>
      <c r="P33" s="759"/>
      <c r="R33" s="759"/>
    </row>
    <row r="34" spans="2:18" s="752" customFormat="1" ht="25" customHeight="1">
      <c r="B34" s="484" t="s">
        <v>474</v>
      </c>
      <c r="C34" s="99">
        <v>8</v>
      </c>
      <c r="D34" s="99">
        <v>16</v>
      </c>
      <c r="E34" s="104">
        <v>1000</v>
      </c>
      <c r="F34" s="770">
        <f t="shared" si="0"/>
        <v>3.5</v>
      </c>
      <c r="G34" s="771">
        <f t="shared" si="1"/>
        <v>2520</v>
      </c>
      <c r="H34" s="772"/>
      <c r="I34" s="773"/>
      <c r="J34" s="772"/>
      <c r="K34" s="955">
        <f t="shared" si="2"/>
        <v>0</v>
      </c>
      <c r="M34" s="774"/>
      <c r="P34" s="759"/>
      <c r="R34" s="759"/>
    </row>
    <row r="35" spans="2:18" s="752" customFormat="1" ht="25" customHeight="1">
      <c r="B35" s="485" t="s">
        <v>475</v>
      </c>
      <c r="C35" s="100">
        <v>16</v>
      </c>
      <c r="D35" s="100">
        <v>32</v>
      </c>
      <c r="E35" s="720">
        <v>100</v>
      </c>
      <c r="F35" s="775">
        <f t="shared" si="0"/>
        <v>4.3611111111111107</v>
      </c>
      <c r="G35" s="776">
        <f t="shared" si="1"/>
        <v>3140</v>
      </c>
      <c r="H35" s="777"/>
      <c r="I35" s="773"/>
      <c r="J35" s="777"/>
      <c r="K35" s="956">
        <f t="shared" si="2"/>
        <v>0</v>
      </c>
      <c r="M35" s="774"/>
      <c r="P35" s="759"/>
      <c r="R35" s="759"/>
    </row>
    <row r="36" spans="2:18" s="752" customFormat="1" ht="25" customHeight="1">
      <c r="B36" s="484" t="s">
        <v>476</v>
      </c>
      <c r="C36" s="99">
        <v>16</v>
      </c>
      <c r="D36" s="99">
        <v>32</v>
      </c>
      <c r="E36" s="104">
        <v>500</v>
      </c>
      <c r="F36" s="770">
        <f t="shared" si="0"/>
        <v>4.916666666666667</v>
      </c>
      <c r="G36" s="771">
        <f t="shared" si="1"/>
        <v>3540</v>
      </c>
      <c r="H36" s="772"/>
      <c r="I36" s="773"/>
      <c r="J36" s="772"/>
      <c r="K36" s="955">
        <f t="shared" si="2"/>
        <v>0</v>
      </c>
      <c r="M36" s="774"/>
      <c r="P36" s="759"/>
      <c r="R36" s="759"/>
    </row>
    <row r="37" spans="2:18" s="752" customFormat="1" ht="25" customHeight="1">
      <c r="B37" s="485" t="s">
        <v>477</v>
      </c>
      <c r="C37" s="100">
        <v>16</v>
      </c>
      <c r="D37" s="100">
        <v>32</v>
      </c>
      <c r="E37" s="720">
        <v>1000</v>
      </c>
      <c r="F37" s="775">
        <f t="shared" si="0"/>
        <v>5.6111111111111107</v>
      </c>
      <c r="G37" s="776">
        <f t="shared" si="1"/>
        <v>4040</v>
      </c>
      <c r="H37" s="777"/>
      <c r="I37" s="773"/>
      <c r="J37" s="777"/>
      <c r="K37" s="956">
        <f t="shared" si="2"/>
        <v>0</v>
      </c>
      <c r="M37" s="774"/>
      <c r="P37" s="759"/>
      <c r="R37" s="759"/>
    </row>
    <row r="38" spans="2:18" s="998" customFormat="1" ht="25" customHeight="1">
      <c r="B38" s="994" t="s">
        <v>222</v>
      </c>
      <c r="C38" s="995" t="str" cm="1">
        <f t="array" ref="C38">SUM(C26:C37*I26:I37)&amp;" st"</f>
        <v>0 st</v>
      </c>
      <c r="D38" s="995" t="str" cm="1">
        <f t="array" ref="D38">SUM(D26:D37*I26:I37)&amp;" GB"</f>
        <v>0 GB</v>
      </c>
      <c r="E38" s="996" t="str" cm="1">
        <f t="array" ref="E38">SUM(E26:E37*I26:I37)&amp;" GB"</f>
        <v>0 GB</v>
      </c>
      <c r="F38" s="995"/>
      <c r="G38" s="995"/>
      <c r="H38" s="995"/>
      <c r="I38" s="995" t="str">
        <f>SUM(I26:I37)&amp;" st"</f>
        <v>0 st</v>
      </c>
      <c r="J38" s="995"/>
      <c r="K38" s="997">
        <f>SUM(K26:K37)</f>
        <v>0</v>
      </c>
      <c r="M38" s="999"/>
      <c r="P38" s="1000"/>
      <c r="R38" s="1000"/>
    </row>
    <row r="39" spans="2:18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8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8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8" s="718" customFormat="1" ht="25" customHeight="1">
      <c r="B42" s="719" t="s">
        <v>450</v>
      </c>
      <c r="C42" s="717"/>
      <c r="D42" s="717"/>
      <c r="I42" s="788"/>
      <c r="J42" s="788"/>
      <c r="K42" s="959"/>
      <c r="M42" s="790"/>
    </row>
    <row r="43" spans="2:18" ht="25" customHeight="1">
      <c r="B43" s="1079" t="s">
        <v>662</v>
      </c>
      <c r="C43" s="1079"/>
      <c r="D43" s="1079"/>
      <c r="E43" s="1079"/>
      <c r="M43" s="765"/>
    </row>
    <row r="44" spans="2:18" s="718" customFormat="1" ht="25" customHeight="1">
      <c r="B44" s="478" t="s">
        <v>208</v>
      </c>
      <c r="C44" s="13" t="s">
        <v>10</v>
      </c>
      <c r="D44" s="13" t="s">
        <v>11</v>
      </c>
      <c r="E44" s="1015" t="s">
        <v>449</v>
      </c>
      <c r="F44" s="1015" t="s">
        <v>269</v>
      </c>
      <c r="G44" s="1015" t="s">
        <v>619</v>
      </c>
      <c r="H44" s="766"/>
      <c r="I44" s="767" t="s">
        <v>621</v>
      </c>
      <c r="J44" s="766"/>
      <c r="K44" s="954" t="s">
        <v>215</v>
      </c>
      <c r="M44" s="768"/>
      <c r="N44" s="10"/>
      <c r="O44" s="10"/>
      <c r="P44" s="759"/>
      <c r="Q44" s="759"/>
      <c r="R44" s="769"/>
    </row>
    <row r="45" spans="2:18" s="752" customFormat="1" ht="25" customHeight="1">
      <c r="B45" s="484" t="s">
        <v>478</v>
      </c>
      <c r="C45" s="99">
        <v>1</v>
      </c>
      <c r="D45" s="99">
        <v>2</v>
      </c>
      <c r="E45" s="724">
        <v>0</v>
      </c>
      <c r="F45" s="770">
        <f t="shared" ref="F45:F54" si="3">G45/720</f>
        <v>0.2638888888888889</v>
      </c>
      <c r="G45" s="771">
        <f t="shared" ref="G45:G54" si="4">C45*IAAS_vcpu_SEK+D45*IAAS_ram_SEK+E45*IAAS_ssd_SEK</f>
        <v>190</v>
      </c>
      <c r="H45" s="772"/>
      <c r="I45" s="773"/>
      <c r="J45" s="772"/>
      <c r="K45" s="955">
        <f t="shared" ref="K45:K54" si="5">ROUNDUP(I45*G45,2)</f>
        <v>0</v>
      </c>
      <c r="M45" s="774"/>
      <c r="N45" s="795"/>
      <c r="O45" s="796"/>
    </row>
    <row r="46" spans="2:18" s="752" customFormat="1" ht="25" customHeight="1">
      <c r="B46" s="485" t="s">
        <v>479</v>
      </c>
      <c r="C46" s="100">
        <v>1</v>
      </c>
      <c r="D46" s="100">
        <v>4</v>
      </c>
      <c r="E46" s="725">
        <v>0</v>
      </c>
      <c r="F46" s="775">
        <f t="shared" si="3"/>
        <v>0.41666666666666669</v>
      </c>
      <c r="G46" s="776">
        <f t="shared" si="4"/>
        <v>300</v>
      </c>
      <c r="H46" s="777"/>
      <c r="I46" s="773"/>
      <c r="J46" s="777"/>
      <c r="K46" s="956">
        <f t="shared" si="5"/>
        <v>0</v>
      </c>
      <c r="L46" s="797"/>
      <c r="M46" s="774"/>
      <c r="N46" s="795"/>
      <c r="O46" s="796"/>
    </row>
    <row r="47" spans="2:18" s="752" customFormat="1" ht="25" customHeight="1">
      <c r="B47" s="484" t="s">
        <v>480</v>
      </c>
      <c r="C47" s="99">
        <v>2</v>
      </c>
      <c r="D47" s="99">
        <v>4</v>
      </c>
      <c r="E47" s="724">
        <v>0</v>
      </c>
      <c r="F47" s="770">
        <f t="shared" si="3"/>
        <v>0.52777777777777779</v>
      </c>
      <c r="G47" s="771">
        <f t="shared" si="4"/>
        <v>380</v>
      </c>
      <c r="H47" s="772"/>
      <c r="I47" s="773"/>
      <c r="J47" s="772"/>
      <c r="K47" s="955">
        <f t="shared" si="5"/>
        <v>0</v>
      </c>
      <c r="L47" s="797"/>
      <c r="M47" s="774"/>
      <c r="N47" s="795"/>
      <c r="O47" s="796"/>
    </row>
    <row r="48" spans="2:18" s="752" customFormat="1" ht="25" customHeight="1">
      <c r="B48" s="485" t="s">
        <v>481</v>
      </c>
      <c r="C48" s="100">
        <v>2</v>
      </c>
      <c r="D48" s="100">
        <v>8</v>
      </c>
      <c r="E48" s="725">
        <v>0</v>
      </c>
      <c r="F48" s="775">
        <f t="shared" si="3"/>
        <v>0.83333333333333337</v>
      </c>
      <c r="G48" s="776">
        <f t="shared" si="4"/>
        <v>600</v>
      </c>
      <c r="H48" s="777"/>
      <c r="I48" s="773"/>
      <c r="J48" s="777"/>
      <c r="K48" s="956">
        <f t="shared" si="5"/>
        <v>0</v>
      </c>
      <c r="L48" s="797"/>
      <c r="M48" s="774"/>
      <c r="N48" s="795"/>
      <c r="O48" s="1064"/>
    </row>
    <row r="49" spans="1:20" s="752" customFormat="1" ht="25" customHeight="1">
      <c r="B49" s="484" t="s">
        <v>482</v>
      </c>
      <c r="C49" s="99">
        <v>4</v>
      </c>
      <c r="D49" s="99">
        <v>8</v>
      </c>
      <c r="E49" s="724">
        <v>0</v>
      </c>
      <c r="F49" s="770">
        <f t="shared" si="3"/>
        <v>1.0555555555555556</v>
      </c>
      <c r="G49" s="771">
        <f t="shared" si="4"/>
        <v>760</v>
      </c>
      <c r="H49" s="772"/>
      <c r="I49" s="773"/>
      <c r="J49" s="772"/>
      <c r="K49" s="95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483</v>
      </c>
      <c r="C50" s="100">
        <v>4</v>
      </c>
      <c r="D50" s="100">
        <v>16</v>
      </c>
      <c r="E50" s="725">
        <v>0</v>
      </c>
      <c r="F50" s="775">
        <f t="shared" si="3"/>
        <v>1.6666666666666667</v>
      </c>
      <c r="G50" s="776">
        <f t="shared" si="4"/>
        <v>1200</v>
      </c>
      <c r="H50" s="777"/>
      <c r="I50" s="773"/>
      <c r="J50" s="777"/>
      <c r="K50" s="956">
        <f t="shared" si="5"/>
        <v>0</v>
      </c>
      <c r="L50" s="797"/>
      <c r="M50" s="774"/>
    </row>
    <row r="51" spans="1:20" s="752" customFormat="1" ht="25" customHeight="1">
      <c r="B51" s="484" t="s">
        <v>484</v>
      </c>
      <c r="C51" s="99">
        <v>8</v>
      </c>
      <c r="D51" s="99">
        <v>16</v>
      </c>
      <c r="E51" s="724">
        <v>0</v>
      </c>
      <c r="F51" s="770">
        <f t="shared" si="3"/>
        <v>2.1111111111111112</v>
      </c>
      <c r="G51" s="771">
        <f t="shared" si="4"/>
        <v>1520</v>
      </c>
      <c r="H51" s="772"/>
      <c r="I51" s="773"/>
      <c r="J51" s="772"/>
      <c r="K51" s="955">
        <f t="shared" si="5"/>
        <v>0</v>
      </c>
      <c r="L51" s="797"/>
      <c r="M51" s="774"/>
    </row>
    <row r="52" spans="1:20" s="752" customFormat="1" ht="25" customHeight="1">
      <c r="B52" s="485" t="s">
        <v>485</v>
      </c>
      <c r="C52" s="100">
        <v>8</v>
      </c>
      <c r="D52" s="100">
        <v>32</v>
      </c>
      <c r="E52" s="725">
        <v>0</v>
      </c>
      <c r="F52" s="775">
        <f t="shared" si="3"/>
        <v>3.3333333333333335</v>
      </c>
      <c r="G52" s="776">
        <f t="shared" si="4"/>
        <v>2400</v>
      </c>
      <c r="H52" s="777"/>
      <c r="I52" s="773"/>
      <c r="J52" s="777"/>
      <c r="K52" s="956">
        <f t="shared" si="5"/>
        <v>0</v>
      </c>
      <c r="L52" s="797"/>
      <c r="M52" s="774"/>
    </row>
    <row r="53" spans="1:20" s="752" customFormat="1" ht="25" customHeight="1">
      <c r="B53" s="484" t="s">
        <v>486</v>
      </c>
      <c r="C53" s="99">
        <v>16</v>
      </c>
      <c r="D53" s="99">
        <v>32</v>
      </c>
      <c r="E53" s="724">
        <v>0</v>
      </c>
      <c r="F53" s="770">
        <f t="shared" si="3"/>
        <v>4.2222222222222223</v>
      </c>
      <c r="G53" s="771">
        <f t="shared" si="4"/>
        <v>3040</v>
      </c>
      <c r="H53" s="772"/>
      <c r="I53" s="773"/>
      <c r="J53" s="772"/>
      <c r="K53" s="95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487</v>
      </c>
      <c r="C54" s="100">
        <v>16</v>
      </c>
      <c r="D54" s="100">
        <v>64</v>
      </c>
      <c r="E54" s="725">
        <v>0</v>
      </c>
      <c r="F54" s="775">
        <f t="shared" si="3"/>
        <v>6.666666666666667</v>
      </c>
      <c r="G54" s="776">
        <f t="shared" si="4"/>
        <v>4800</v>
      </c>
      <c r="H54" s="777"/>
      <c r="I54" s="773"/>
      <c r="J54" s="777"/>
      <c r="K54" s="95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222</v>
      </c>
      <c r="C55" s="995" t="str" cm="1">
        <f t="array" ref="C55">SUM(b2_list_vCPU*b2_list_Antal_instanser)&amp;" st"</f>
        <v>0 st</v>
      </c>
      <c r="D55" s="995" t="str" cm="1">
        <f t="array" ref="D55">SUM(b2_list_ram*b2_list_vCPU)&amp;" GB"</f>
        <v>0 GB</v>
      </c>
      <c r="E55" s="1001" t="s">
        <v>94</v>
      </c>
      <c r="F55" s="995"/>
      <c r="G55" s="995"/>
      <c r="H55" s="995"/>
      <c r="I55" s="995" t="str">
        <f>SUM(I45:I54)&amp;" st"</f>
        <v>0 st</v>
      </c>
      <c r="J55" s="995"/>
      <c r="K55" s="997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463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0" t="s">
        <v>663</v>
      </c>
      <c r="C58" s="1080"/>
      <c r="D58" s="1080"/>
      <c r="E58" s="1080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438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488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3" si="6">H60/720</f>
        <v>9.6527777777777786</v>
      </c>
      <c r="H60" s="771">
        <f>C60*IAAS_vcpu_SEK+D60*IAAS_ram_SEK+E60*IAAS_nvme_SEK+F60*IAAS_gpu_SEK</f>
        <v>6950</v>
      </c>
      <c r="I60" s="1063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489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3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490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si="6"/>
        <v>38.611111111111114</v>
      </c>
      <c r="H62" s="771">
        <f>C62*IAAS_vcpu_SEK+D62*IAAS_ram_SEK+E62*IAAS_nvme_SEK+F62*IAAS_gpu_SEK</f>
        <v>27800</v>
      </c>
      <c r="I62" s="1063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491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6"/>
        <v>60.555555555555557</v>
      </c>
      <c r="H63" s="776">
        <f>C63*IAAS_vcpu_SEK+D63*IAAS_ram_SEK+E63*IAAS_nvme_SEK+F63*IAAS_gpu_SEK</f>
        <v>43600</v>
      </c>
      <c r="I63" s="1063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400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0" t="s">
        <v>663</v>
      </c>
      <c r="C68" s="1080"/>
      <c r="D68" s="1080"/>
      <c r="E68" s="1080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438</v>
      </c>
      <c r="H69" s="766"/>
      <c r="I69" s="767" t="s">
        <v>367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464</v>
      </c>
      <c r="C70" s="91">
        <v>16</v>
      </c>
      <c r="D70" s="91">
        <v>128</v>
      </c>
      <c r="E70" s="96">
        <v>3800</v>
      </c>
      <c r="F70" s="815">
        <f t="shared" ref="F70:F72" si="7">G70/720</f>
        <v>9.5</v>
      </c>
      <c r="G70" s="816">
        <f>INSTANCE_p1.2xlarge.16d_SEK</f>
        <v>6840</v>
      </c>
      <c r="H70" s="16"/>
      <c r="I70" s="1063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492</v>
      </c>
      <c r="C71" s="92">
        <v>32</v>
      </c>
      <c r="D71" s="92">
        <v>256</v>
      </c>
      <c r="E71" s="94">
        <v>3800</v>
      </c>
      <c r="F71" s="817">
        <f t="shared" si="7"/>
        <v>19</v>
      </c>
      <c r="G71" s="98">
        <f>INSTANCE_p1.4xlarge.16d_SEK</f>
        <v>13680</v>
      </c>
      <c r="H71" s="18"/>
      <c r="I71" s="1063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465</v>
      </c>
      <c r="C72" s="93">
        <v>64</v>
      </c>
      <c r="D72" s="93">
        <v>512</v>
      </c>
      <c r="E72" s="95">
        <v>7600</v>
      </c>
      <c r="F72" s="818">
        <f t="shared" si="7"/>
        <v>38</v>
      </c>
      <c r="G72" s="816">
        <f>INSTANCE_p1.8xlarge.32d_SEK</f>
        <v>27360</v>
      </c>
      <c r="H72" s="16"/>
      <c r="I72" s="1063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618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617</v>
      </c>
      <c r="M77" s="765"/>
    </row>
    <row r="78" spans="2:20" s="822" customFormat="1" ht="25" customHeight="1">
      <c r="B78" s="478" t="s">
        <v>208</v>
      </c>
      <c r="C78" s="26" t="s">
        <v>277</v>
      </c>
      <c r="D78" s="26"/>
      <c r="E78" s="26"/>
      <c r="F78" s="1020" t="s">
        <v>210</v>
      </c>
      <c r="G78" s="1015" t="s">
        <v>438</v>
      </c>
      <c r="H78" s="26"/>
      <c r="I78" s="820" t="s">
        <v>620</v>
      </c>
      <c r="J78" s="26"/>
      <c r="K78" s="674" t="s">
        <v>622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493</v>
      </c>
      <c r="C79" s="41" t="s">
        <v>68</v>
      </c>
      <c r="D79" s="80"/>
      <c r="E79" s="80"/>
      <c r="F79" s="82">
        <f>G79/720</f>
        <v>1.6666666666666666E-3</v>
      </c>
      <c r="G79" s="992">
        <f>VOLUME_large_SEK</f>
        <v>1.2</v>
      </c>
      <c r="H79" s="825"/>
      <c r="I79" s="826"/>
      <c r="J79" s="827"/>
      <c r="K79" s="944">
        <f>ROUNDUP(I79*G79,2)</f>
        <v>0</v>
      </c>
      <c r="L79" s="9"/>
      <c r="M79" s="774"/>
    </row>
    <row r="80" spans="2:20" s="752" customFormat="1" ht="25" customHeight="1">
      <c r="B80" s="488" t="s">
        <v>494</v>
      </c>
      <c r="C80" s="43" t="s">
        <v>71</v>
      </c>
      <c r="D80" s="81"/>
      <c r="E80" s="81"/>
      <c r="F80" s="83">
        <f>G80/720</f>
        <v>5.0000000000000001E-3</v>
      </c>
      <c r="G80" s="993">
        <f>VOLUME_fast_SEK</f>
        <v>3.6</v>
      </c>
      <c r="H80" s="829"/>
      <c r="I80" s="831"/>
      <c r="J80" s="832"/>
      <c r="K80" s="945">
        <f>ROUNDUP(I80*G80,2)</f>
        <v>0</v>
      </c>
      <c r="L80" s="9"/>
      <c r="M80" s="774"/>
      <c r="T80" s="759"/>
    </row>
    <row r="81" spans="2:26" s="752" customFormat="1" ht="25" customHeight="1">
      <c r="B81" s="141" t="s">
        <v>495</v>
      </c>
      <c r="C81" s="41" t="s">
        <v>435</v>
      </c>
      <c r="D81" s="80"/>
      <c r="E81" s="80"/>
      <c r="F81" s="82">
        <f>G81/720</f>
        <v>1.6666666666666666E-3</v>
      </c>
      <c r="G81" s="992">
        <f>VOLUME_large_SEK</f>
        <v>1.2</v>
      </c>
      <c r="H81" s="833"/>
      <c r="I81" s="826"/>
      <c r="J81" s="827"/>
      <c r="K81" s="944">
        <f>ROUNDUP(I81*G81,2)</f>
        <v>0</v>
      </c>
      <c r="L81" s="9"/>
      <c r="M81" s="774"/>
    </row>
    <row r="82" spans="2:26" s="998" customFormat="1" ht="25" customHeight="1">
      <c r="B82" s="994" t="s">
        <v>222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997">
        <f>SUM(K79:K81)</f>
        <v>0</v>
      </c>
      <c r="M82" s="999"/>
      <c r="P82" s="1000"/>
      <c r="R82" s="1000"/>
    </row>
    <row r="83" spans="2:26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6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6" s="6" customFormat="1" ht="25" customHeight="1">
      <c r="B85" s="1072" t="s">
        <v>72</v>
      </c>
      <c r="C85" s="1072"/>
      <c r="D85" s="1072"/>
      <c r="E85" s="1072"/>
      <c r="F85" s="1072"/>
      <c r="G85" s="1072"/>
      <c r="H85" s="748"/>
      <c r="J85" s="749"/>
      <c r="K85" s="950"/>
      <c r="M85" s="751"/>
    </row>
    <row r="86" spans="2:26" s="6" customFormat="1" ht="25" customHeight="1">
      <c r="B86" s="1072"/>
      <c r="C86" s="1072"/>
      <c r="D86" s="1072"/>
      <c r="E86" s="1072"/>
      <c r="F86" s="1072"/>
      <c r="G86" s="1072"/>
      <c r="H86" s="748"/>
      <c r="J86" s="749"/>
      <c r="K86" s="950"/>
      <c r="M86" s="751"/>
    </row>
    <row r="87" spans="2:26" s="6" customFormat="1" ht="25" customHeight="1">
      <c r="B87" s="1072"/>
      <c r="C87" s="1072"/>
      <c r="D87" s="1072"/>
      <c r="E87" s="1072"/>
      <c r="F87" s="1072"/>
      <c r="G87" s="1072"/>
      <c r="H87" s="748"/>
      <c r="J87" s="749"/>
      <c r="K87" s="950"/>
      <c r="M87" s="751"/>
    </row>
    <row r="88" spans="2:26" s="6" customFormat="1" ht="25" customHeight="1">
      <c r="B88" s="1012" t="s">
        <v>657</v>
      </c>
      <c r="C88" s="1012"/>
      <c r="D88" s="1012"/>
      <c r="E88" s="1012"/>
      <c r="F88" s="1012"/>
      <c r="H88" s="748"/>
      <c r="J88" s="749"/>
      <c r="K88" s="950"/>
      <c r="M88" s="758"/>
    </row>
    <row r="89" spans="2:26" s="546" customFormat="1" ht="25" customHeight="1">
      <c r="B89" s="1013" t="s">
        <v>623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6" s="6" customFormat="1" ht="25" customHeight="1">
      <c r="B90" s="600" t="s">
        <v>401</v>
      </c>
      <c r="C90" s="601"/>
      <c r="D90" s="601"/>
      <c r="E90" s="601"/>
      <c r="F90" s="1011"/>
      <c r="G90" s="754"/>
      <c r="H90" s="755"/>
      <c r="I90" s="754"/>
      <c r="J90" s="756"/>
      <c r="K90" s="951"/>
      <c r="L90" s="757"/>
      <c r="M90" s="758"/>
      <c r="S90" s="752"/>
      <c r="T90" s="752"/>
      <c r="U90" s="752"/>
      <c r="V90" s="752"/>
      <c r="W90" s="759"/>
      <c r="X90" s="9"/>
      <c r="Y90" s="752"/>
      <c r="Z90" s="752"/>
    </row>
    <row r="91" spans="2:26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6" s="6" customFormat="1" ht="25" customHeight="1">
      <c r="B92" s="478" t="s">
        <v>208</v>
      </c>
      <c r="C92" s="12"/>
      <c r="D92" s="1015"/>
      <c r="E92" s="1015"/>
      <c r="F92" s="26"/>
      <c r="G92" s="1015" t="s">
        <v>624</v>
      </c>
      <c r="H92" s="26"/>
      <c r="I92" s="820" t="s">
        <v>625</v>
      </c>
      <c r="J92" s="1015"/>
      <c r="K92" s="674" t="s">
        <v>83</v>
      </c>
      <c r="L92" s="757"/>
      <c r="M92" s="774"/>
      <c r="N92" s="752"/>
    </row>
    <row r="93" spans="2:26" s="848" customFormat="1" ht="25" customHeight="1">
      <c r="B93" s="479" t="s">
        <v>538</v>
      </c>
      <c r="C93" s="80"/>
      <c r="D93" s="568"/>
      <c r="E93" s="568"/>
      <c r="F93" s="844"/>
      <c r="G93" s="843">
        <f>S3_archive.50_SEK</f>
        <v>350</v>
      </c>
      <c r="H93" s="844"/>
      <c r="I93" s="845"/>
      <c r="J93" s="846"/>
      <c r="K93" s="691">
        <f>I93*G93</f>
        <v>0</v>
      </c>
      <c r="L93" s="847"/>
      <c r="M93" s="774"/>
      <c r="N93" s="813"/>
    </row>
    <row r="94" spans="2:26" s="752" customFormat="1" ht="25" customHeight="1">
      <c r="B94" s="692" t="s">
        <v>496</v>
      </c>
      <c r="C94" s="43"/>
      <c r="D94" s="693"/>
      <c r="E94" s="693"/>
      <c r="F94" s="829"/>
      <c r="G94" s="715">
        <f>S3_storage50_SEK</f>
        <v>500</v>
      </c>
      <c r="H94" s="830"/>
      <c r="I94" s="849"/>
      <c r="J94" s="832"/>
      <c r="K94" s="945">
        <f>I94*G94</f>
        <v>0</v>
      </c>
      <c r="L94" s="9"/>
      <c r="M94" s="774"/>
      <c r="T94" s="759"/>
    </row>
    <row r="95" spans="2:26" s="998" customFormat="1" ht="25" customHeight="1">
      <c r="B95" s="994" t="s">
        <v>222</v>
      </c>
      <c r="C95" s="995"/>
      <c r="D95" s="995"/>
      <c r="E95" s="995"/>
      <c r="F95" s="995"/>
      <c r="G95" s="995"/>
      <c r="H95" s="995"/>
      <c r="I95" s="995"/>
      <c r="J95" s="995"/>
      <c r="K95" s="997">
        <f>SUM(K93:K94)</f>
        <v>0</v>
      </c>
      <c r="M95" s="999"/>
      <c r="P95" s="1000"/>
      <c r="R95" s="1000"/>
    </row>
    <row r="96" spans="2:26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26" s="798" customFormat="1" ht="25" hidden="1" customHeight="1">
      <c r="B97" s="447" t="s">
        <v>423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26" s="6" customFormat="1" ht="25" hidden="1" customHeight="1">
      <c r="B98" s="478" t="s">
        <v>208</v>
      </c>
      <c r="C98" s="12" t="s">
        <v>224</v>
      </c>
      <c r="D98" s="1077" t="s">
        <v>225</v>
      </c>
      <c r="E98" s="1077"/>
      <c r="F98" s="1077"/>
      <c r="G98" s="1077"/>
      <c r="H98" s="1077"/>
      <c r="I98" s="1077"/>
      <c r="J98" s="1015"/>
      <c r="K98" s="674"/>
      <c r="L98" s="757"/>
      <c r="M98" s="801"/>
      <c r="N98" s="752"/>
    </row>
    <row r="99" spans="2:26" s="848" customFormat="1" ht="25" hidden="1" customHeight="1">
      <c r="B99" s="506" t="s">
        <v>424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5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26" s="6" customFormat="1" ht="25" hidden="1" customHeight="1">
      <c r="B100" s="665" t="s">
        <v>424</v>
      </c>
      <c r="C100" s="666" t="s">
        <v>430</v>
      </c>
      <c r="D100" s="1076">
        <f>S3_archive.50_SEK</f>
        <v>350</v>
      </c>
      <c r="E100" s="1076"/>
      <c r="F100" s="1076"/>
      <c r="G100" s="1076"/>
      <c r="H100" s="1076"/>
      <c r="I100" s="1076"/>
      <c r="J100" s="1014"/>
      <c r="K100" s="967"/>
      <c r="L100" s="757"/>
      <c r="M100" s="812"/>
      <c r="N100" s="752"/>
    </row>
    <row r="101" spans="2:26" s="6" customFormat="1" ht="25" hidden="1" customHeight="1">
      <c r="B101" s="677" t="s">
        <v>424</v>
      </c>
      <c r="C101" s="678" t="s">
        <v>431</v>
      </c>
      <c r="D101" s="1081">
        <f>S3_archive.100_SEK</f>
        <v>270</v>
      </c>
      <c r="E101" s="1081"/>
      <c r="F101" s="1081"/>
      <c r="G101" s="1081"/>
      <c r="H101" s="1081"/>
      <c r="I101" s="1081"/>
      <c r="J101" s="1018"/>
      <c r="K101" s="968"/>
      <c r="L101" s="757"/>
      <c r="M101" s="774"/>
      <c r="N101" s="752"/>
    </row>
    <row r="102" spans="2:26" s="6" customFormat="1" ht="25" hidden="1" customHeight="1">
      <c r="B102" s="665" t="s">
        <v>424</v>
      </c>
      <c r="C102" s="666" t="s">
        <v>432</v>
      </c>
      <c r="D102" s="1083">
        <f>S3_archive.500_SEK</f>
        <v>200</v>
      </c>
      <c r="E102" s="1083"/>
      <c r="F102" s="1083"/>
      <c r="G102" s="1083"/>
      <c r="H102" s="1083"/>
      <c r="I102" s="1083"/>
      <c r="J102" s="1019"/>
      <c r="K102" s="969"/>
      <c r="L102" s="757"/>
      <c r="M102" s="774"/>
      <c r="N102" s="752"/>
    </row>
    <row r="103" spans="2:26" s="6" customFormat="1" ht="25" hidden="1" customHeight="1">
      <c r="B103" s="677" t="s">
        <v>424</v>
      </c>
      <c r="C103" s="678" t="s">
        <v>433</v>
      </c>
      <c r="D103" s="1081">
        <f>S3_archive.1000_SEK</f>
        <v>185</v>
      </c>
      <c r="E103" s="1081"/>
      <c r="F103" s="1081"/>
      <c r="G103" s="1081"/>
      <c r="H103" s="1081"/>
      <c r="I103" s="1081"/>
      <c r="J103" s="1018"/>
      <c r="K103" s="968"/>
      <c r="L103" s="757"/>
      <c r="M103" s="774"/>
      <c r="N103" s="752"/>
    </row>
    <row r="104" spans="2:26" s="6" customFormat="1" ht="25" hidden="1" customHeight="1">
      <c r="B104" s="669" t="s">
        <v>424</v>
      </c>
      <c r="C104" s="670" t="s">
        <v>434</v>
      </c>
      <c r="D104" s="1082" t="str">
        <f>S3_archive.quote_SEK</f>
        <v>Be om offert</v>
      </c>
      <c r="E104" s="1082"/>
      <c r="F104" s="1082"/>
      <c r="G104" s="1082"/>
      <c r="H104" s="1082"/>
      <c r="I104" s="1082"/>
      <c r="J104" s="1017"/>
      <c r="K104" s="970"/>
      <c r="L104" s="757"/>
      <c r="M104" s="774"/>
      <c r="N104" s="752"/>
    </row>
    <row r="105" spans="2:26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26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26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26" s="6" customFormat="1" ht="25" customHeight="1">
      <c r="B108" s="1072" t="s">
        <v>86</v>
      </c>
      <c r="C108" s="1072"/>
      <c r="D108" s="1072"/>
      <c r="E108" s="1072"/>
      <c r="F108" s="1072"/>
      <c r="G108" s="1072"/>
      <c r="H108" s="748"/>
      <c r="J108" s="749"/>
      <c r="K108" s="950"/>
      <c r="L108" s="749"/>
      <c r="M108" s="751"/>
    </row>
    <row r="109" spans="2:26" s="6" customFormat="1" ht="25" customHeight="1">
      <c r="B109" s="1072"/>
      <c r="C109" s="1072"/>
      <c r="D109" s="1072"/>
      <c r="E109" s="1072"/>
      <c r="F109" s="1072"/>
      <c r="G109" s="1072"/>
      <c r="H109" s="748"/>
      <c r="J109" s="749"/>
      <c r="K109" s="950"/>
      <c r="L109" s="749"/>
      <c r="M109" s="751"/>
    </row>
    <row r="110" spans="2:26" s="6" customFormat="1" ht="25" customHeight="1">
      <c r="B110" s="1072"/>
      <c r="C110" s="1072"/>
      <c r="D110" s="1072"/>
      <c r="E110" s="1072"/>
      <c r="F110" s="1072"/>
      <c r="G110" s="1072"/>
      <c r="H110" s="748"/>
      <c r="J110" s="749"/>
      <c r="K110" s="950"/>
      <c r="L110" s="749"/>
      <c r="M110" s="751"/>
    </row>
    <row r="111" spans="2:26" s="6" customFormat="1" ht="25" customHeight="1">
      <c r="B111" s="1012" t="s">
        <v>626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26" s="6" customFormat="1" ht="25" customHeight="1">
      <c r="B112" s="1075" t="s">
        <v>616</v>
      </c>
      <c r="C112" s="1075"/>
      <c r="D112" s="1075"/>
      <c r="E112" s="1075"/>
      <c r="F112" s="1075"/>
      <c r="G112" s="754"/>
      <c r="H112" s="755"/>
      <c r="J112" s="756"/>
      <c r="K112" s="951"/>
      <c r="L112" s="757"/>
      <c r="M112" s="751"/>
      <c r="S112" s="752"/>
      <c r="T112" s="752"/>
      <c r="U112" s="752"/>
      <c r="V112" s="752"/>
      <c r="W112" s="752"/>
      <c r="X112" s="752"/>
      <c r="Y112" s="752"/>
      <c r="Z112" s="752"/>
    </row>
    <row r="113" spans="1:32" s="6" customFormat="1" ht="25" customHeight="1">
      <c r="B113" s="600" t="s">
        <v>401</v>
      </c>
      <c r="C113" s="601"/>
      <c r="D113" s="601"/>
      <c r="E113" s="601"/>
      <c r="F113" s="1011"/>
      <c r="G113" s="754"/>
      <c r="H113" s="755"/>
      <c r="I113" s="754"/>
      <c r="J113" s="756"/>
      <c r="K113" s="951"/>
      <c r="L113" s="757"/>
      <c r="M113" s="758"/>
      <c r="S113" s="752"/>
      <c r="T113" s="752"/>
      <c r="U113" s="752"/>
      <c r="V113" s="752"/>
      <c r="W113" s="759"/>
      <c r="X113" s="9"/>
      <c r="Y113" s="752"/>
      <c r="Z113" s="752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208</v>
      </c>
      <c r="C115" s="870"/>
      <c r="D115" s="870"/>
      <c r="E115" s="26" t="s">
        <v>287</v>
      </c>
      <c r="F115" s="870"/>
      <c r="G115" s="26" t="s">
        <v>628</v>
      </c>
      <c r="H115" s="26"/>
      <c r="I115" s="820" t="s">
        <v>620</v>
      </c>
      <c r="J115" s="820" t="s">
        <v>629</v>
      </c>
      <c r="K115" s="674" t="s">
        <v>92</v>
      </c>
      <c r="L115" s="814"/>
      <c r="M115" s="1066" t="s">
        <v>630</v>
      </c>
      <c r="O115" s="10"/>
    </row>
    <row r="116" spans="1:32" ht="25" customHeight="1">
      <c r="A116" s="722"/>
      <c r="B116" s="141" t="s">
        <v>497</v>
      </c>
      <c r="C116" s="80"/>
      <c r="D116" s="80"/>
      <c r="E116" s="31" t="s">
        <v>94</v>
      </c>
      <c r="F116" s="827"/>
      <c r="G116" s="861">
        <f>BAAS_on.demand_SEK</f>
        <v>2.4500000000000002</v>
      </c>
      <c r="H116" s="827"/>
      <c r="I116" s="845"/>
      <c r="J116" s="1003" t="s">
        <v>94</v>
      </c>
      <c r="K116" s="944">
        <f>ROUNDUP(I116*G116,2)</f>
        <v>0</v>
      </c>
      <c r="L116" s="814"/>
      <c r="M116" s="942" t="s">
        <v>631</v>
      </c>
      <c r="O116" s="10"/>
    </row>
    <row r="117" spans="1:32" ht="25" customHeight="1">
      <c r="A117" s="722"/>
      <c r="B117" s="144" t="s">
        <v>498</v>
      </c>
      <c r="C117" s="862"/>
      <c r="D117" s="862"/>
      <c r="E117" s="33">
        <v>5500</v>
      </c>
      <c r="F117" s="832"/>
      <c r="G117" s="863">
        <f>BAAS_small_SEK</f>
        <v>1.75</v>
      </c>
      <c r="H117" s="832"/>
      <c r="I117" s="864"/>
      <c r="J117" s="865">
        <v>0.75</v>
      </c>
      <c r="K117" s="945">
        <f>IF(I117&gt;0,$E$117+($G$117*(I117*(1-$J$117))),0)</f>
        <v>0</v>
      </c>
      <c r="L117" s="814"/>
      <c r="M117" s="943" t="s">
        <v>632</v>
      </c>
      <c r="O117" s="10"/>
    </row>
    <row r="118" spans="1:32" s="868" customFormat="1" ht="25" customHeight="1">
      <c r="A118" s="866"/>
      <c r="B118" s="506" t="s">
        <v>499</v>
      </c>
      <c r="C118" s="84"/>
      <c r="D118" s="84"/>
      <c r="E118" s="35">
        <v>9500</v>
      </c>
      <c r="F118" s="853"/>
      <c r="G118" s="861">
        <f>BAAS_large_SEK</f>
        <v>0.92</v>
      </c>
      <c r="H118" s="853"/>
      <c r="I118" s="852"/>
      <c r="J118" s="867">
        <v>0.75</v>
      </c>
      <c r="K118" s="650">
        <f>IF(I118&gt;0,$E$118+($G$118*(I118*(1-$J$118))),0)</f>
        <v>0</v>
      </c>
      <c r="L118" s="814"/>
      <c r="M118" s="942" t="s">
        <v>633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222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997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72" t="s">
        <v>443</v>
      </c>
      <c r="C123" s="1072"/>
      <c r="D123" s="1072"/>
      <c r="E123" s="1072"/>
      <c r="F123" s="1072"/>
      <c r="G123" s="1072"/>
      <c r="H123" s="748"/>
      <c r="J123" s="749"/>
      <c r="K123" s="950"/>
      <c r="L123" s="749"/>
      <c r="M123" s="751"/>
    </row>
    <row r="124" spans="1:32" s="6" customFormat="1" ht="25" customHeight="1">
      <c r="B124" s="1072"/>
      <c r="C124" s="1072"/>
      <c r="D124" s="1072"/>
      <c r="E124" s="1072"/>
      <c r="F124" s="1072"/>
      <c r="G124" s="1072"/>
      <c r="H124" s="748"/>
      <c r="J124" s="749"/>
      <c r="K124" s="950"/>
      <c r="L124" s="749"/>
      <c r="M124" s="751"/>
    </row>
    <row r="125" spans="1:32" s="6" customFormat="1" ht="25" customHeight="1">
      <c r="B125" s="1072"/>
      <c r="C125" s="1072"/>
      <c r="D125" s="1072"/>
      <c r="E125" s="1072"/>
      <c r="F125" s="1072"/>
      <c r="G125" s="1072"/>
      <c r="H125" s="748"/>
      <c r="J125" s="749"/>
      <c r="K125" s="950"/>
      <c r="L125" s="749"/>
      <c r="M125" s="751"/>
    </row>
    <row r="126" spans="1:32" s="6" customFormat="1" ht="25" customHeight="1">
      <c r="B126" s="1012" t="s">
        <v>634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75" t="s">
        <v>616</v>
      </c>
      <c r="C127" s="1075"/>
      <c r="D127" s="1075"/>
      <c r="E127" s="1075"/>
      <c r="F127" s="1075"/>
      <c r="G127" s="754"/>
      <c r="H127" s="755"/>
      <c r="J127" s="756"/>
      <c r="K127" s="951"/>
      <c r="L127" s="757"/>
      <c r="M127" s="751"/>
      <c r="S127" s="752"/>
      <c r="T127" s="752"/>
      <c r="U127" s="752"/>
      <c r="V127" s="752"/>
      <c r="W127" s="752"/>
      <c r="X127" s="752"/>
      <c r="Y127" s="752"/>
      <c r="Z127" s="752"/>
    </row>
    <row r="128" spans="1:32" s="6" customFormat="1" ht="25" customHeight="1">
      <c r="B128" s="600" t="s">
        <v>659</v>
      </c>
      <c r="C128" s="601"/>
      <c r="D128" s="601"/>
      <c r="E128" s="601"/>
      <c r="F128" s="1011"/>
      <c r="G128" s="754"/>
      <c r="H128" s="755"/>
      <c r="I128" s="754"/>
      <c r="J128" s="756"/>
      <c r="K128" s="951"/>
      <c r="L128" s="757"/>
      <c r="M128" s="758"/>
      <c r="S128" s="752"/>
      <c r="T128" s="752"/>
      <c r="U128" s="752"/>
      <c r="V128" s="752"/>
      <c r="W128" s="759"/>
      <c r="X128" s="9"/>
      <c r="Y128" s="752"/>
      <c r="Z128" s="752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208</v>
      </c>
      <c r="C130" s="1084" t="s">
        <v>635</v>
      </c>
      <c r="D130" s="1084"/>
      <c r="E130" s="1084" t="s">
        <v>636</v>
      </c>
      <c r="F130" s="1084"/>
      <c r="G130" s="1084" t="s">
        <v>287</v>
      </c>
      <c r="H130" s="1084"/>
      <c r="I130" s="26"/>
      <c r="J130" s="26"/>
      <c r="K130" s="674" t="s">
        <v>92</v>
      </c>
      <c r="L130" s="814"/>
      <c r="M130" s="1067"/>
      <c r="O130" s="10"/>
    </row>
    <row r="131" spans="1:32" ht="25" customHeight="1">
      <c r="A131" s="722"/>
      <c r="B131" s="939" t="s">
        <v>500</v>
      </c>
      <c r="C131" s="1089" t="s">
        <v>582</v>
      </c>
      <c r="D131" s="1089"/>
      <c r="E131" s="1091" t="s">
        <v>658</v>
      </c>
      <c r="F131" s="1091"/>
      <c r="G131" s="1085">
        <v>15000</v>
      </c>
      <c r="H131" s="1086"/>
      <c r="I131" s="845"/>
      <c r="J131" s="1069">
        <v>2</v>
      </c>
      <c r="K131" s="972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501</v>
      </c>
      <c r="C132" s="1090" t="s">
        <v>637</v>
      </c>
      <c r="D132" s="1090"/>
      <c r="E132" s="1092" t="s">
        <v>638</v>
      </c>
      <c r="F132" s="1092"/>
      <c r="G132" s="1087">
        <v>24000</v>
      </c>
      <c r="H132" s="1088"/>
      <c r="I132" s="849"/>
      <c r="J132" s="832"/>
      <c r="K132" s="973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222</v>
      </c>
      <c r="C133" s="995"/>
      <c r="D133" s="995"/>
      <c r="E133" s="995"/>
      <c r="F133" s="995"/>
      <c r="G133" s="995"/>
      <c r="H133" s="995"/>
      <c r="I133" s="1068"/>
      <c r="J133" s="995"/>
      <c r="K133" s="997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72" t="s">
        <v>293</v>
      </c>
      <c r="C137" s="1072"/>
      <c r="D137" s="1072"/>
      <c r="E137" s="1072"/>
      <c r="F137" s="1072"/>
      <c r="G137" s="1072"/>
      <c r="H137" s="748"/>
      <c r="J137" s="749"/>
      <c r="K137" s="950"/>
      <c r="M137" s="774"/>
    </row>
    <row r="138" spans="1:32" s="6" customFormat="1" ht="25" customHeight="1">
      <c r="B138" s="1072"/>
      <c r="C138" s="1072"/>
      <c r="D138" s="1072"/>
      <c r="E138" s="1072"/>
      <c r="F138" s="1072"/>
      <c r="G138" s="1072"/>
      <c r="H138" s="748"/>
      <c r="J138" s="749"/>
      <c r="K138" s="950"/>
      <c r="M138" s="774"/>
    </row>
    <row r="139" spans="1:32" s="6" customFormat="1" ht="25" customHeight="1">
      <c r="B139" s="1072"/>
      <c r="C139" s="1072"/>
      <c r="D139" s="1072"/>
      <c r="E139" s="1072"/>
      <c r="F139" s="1072"/>
      <c r="G139" s="1072"/>
      <c r="H139" s="748"/>
      <c r="J139" s="749"/>
      <c r="K139" s="950"/>
      <c r="M139" s="774"/>
    </row>
    <row r="140" spans="1:32" s="6" customFormat="1" ht="25" customHeight="1">
      <c r="B140" s="1075" t="s">
        <v>616</v>
      </c>
      <c r="C140" s="1075"/>
      <c r="D140" s="1075"/>
      <c r="E140" s="1075"/>
      <c r="F140" s="1075"/>
      <c r="G140" s="754"/>
      <c r="H140" s="755"/>
      <c r="J140" s="756"/>
      <c r="K140" s="951"/>
      <c r="L140" s="757"/>
      <c r="M140" s="751"/>
      <c r="S140" s="752"/>
      <c r="T140" s="752"/>
      <c r="U140" s="752"/>
      <c r="V140" s="752"/>
      <c r="W140" s="752"/>
      <c r="X140" s="752"/>
      <c r="Y140" s="752"/>
      <c r="Z140" s="752"/>
    </row>
    <row r="141" spans="1:32" s="6" customFormat="1" ht="25" customHeight="1">
      <c r="B141" s="1073"/>
      <c r="C141" s="1073"/>
      <c r="D141" s="1073"/>
      <c r="E141" s="1073"/>
      <c r="F141" s="1073"/>
      <c r="G141" s="754"/>
      <c r="H141" s="755"/>
      <c r="I141" s="754"/>
      <c r="J141" s="756"/>
      <c r="K141" s="951"/>
      <c r="L141" s="754"/>
      <c r="M141" s="774"/>
    </row>
    <row r="142" spans="1:32" s="6" customFormat="1" ht="25" customHeight="1">
      <c r="B142" s="1013"/>
      <c r="C142" s="1011"/>
      <c r="D142" s="1011"/>
      <c r="E142" s="1011"/>
      <c r="F142" s="1011"/>
      <c r="G142" s="754"/>
      <c r="H142" s="755"/>
      <c r="I142" s="754"/>
      <c r="J142" s="756"/>
      <c r="K142" s="951"/>
      <c r="L142" s="754"/>
      <c r="M142" s="774"/>
    </row>
    <row r="143" spans="1:32" s="9" customFormat="1" ht="25" customHeight="1">
      <c r="B143" s="716" t="s">
        <v>294</v>
      </c>
      <c r="C143" s="1011"/>
      <c r="D143" s="1011"/>
      <c r="E143" s="1011"/>
      <c r="F143" s="1011"/>
      <c r="G143" s="754"/>
      <c r="H143" s="754"/>
      <c r="I143" s="754"/>
      <c r="J143" s="756"/>
      <c r="K143" s="951"/>
      <c r="L143" s="754"/>
      <c r="M143" s="774"/>
      <c r="N143" s="752"/>
      <c r="O143" s="752"/>
      <c r="P143" s="752"/>
      <c r="Q143" s="752"/>
      <c r="R143" s="752"/>
      <c r="S143" s="752"/>
    </row>
    <row r="144" spans="1:32" ht="25" customHeight="1">
      <c r="B144" s="690" t="s">
        <v>639</v>
      </c>
      <c r="M144" s="765"/>
    </row>
    <row r="145" spans="2:18" ht="25" customHeight="1">
      <c r="B145" s="510" t="s">
        <v>208</v>
      </c>
      <c r="C145" s="25" t="s">
        <v>640</v>
      </c>
      <c r="D145" s="25"/>
      <c r="E145" s="26" t="s">
        <v>277</v>
      </c>
      <c r="F145" s="26"/>
      <c r="G145" s="26"/>
      <c r="H145" s="26"/>
      <c r="I145" s="26"/>
      <c r="J145" s="25" t="s">
        <v>642</v>
      </c>
      <c r="K145" s="674" t="s">
        <v>270</v>
      </c>
      <c r="L145" s="15"/>
      <c r="M145" s="774"/>
      <c r="N145" s="837"/>
      <c r="O145" s="9"/>
    </row>
    <row r="146" spans="2:18" ht="25" customHeight="1">
      <c r="B146" s="141" t="s">
        <v>502</v>
      </c>
      <c r="C146" s="136" t="s">
        <v>105</v>
      </c>
      <c r="D146" s="136"/>
      <c r="E146" s="41" t="s">
        <v>106</v>
      </c>
      <c r="F146" s="32"/>
      <c r="G146" s="32"/>
      <c r="H146" s="32"/>
      <c r="I146" s="32"/>
      <c r="J146" s="873" t="s">
        <v>107</v>
      </c>
      <c r="K146" s="944">
        <f>NET_publicv4_SEK</f>
        <v>25</v>
      </c>
      <c r="L146" s="10"/>
      <c r="M146" s="774"/>
      <c r="N146" s="837"/>
      <c r="O146" s="9"/>
    </row>
    <row r="147" spans="2:18" ht="25" customHeight="1">
      <c r="B147" s="144" t="s">
        <v>503</v>
      </c>
      <c r="C147" s="137" t="s">
        <v>109</v>
      </c>
      <c r="D147" s="137"/>
      <c r="E147" s="43" t="s">
        <v>106</v>
      </c>
      <c r="F147" s="874"/>
      <c r="G147" s="874"/>
      <c r="H147" s="874"/>
      <c r="I147" s="874"/>
      <c r="J147" s="875" t="s">
        <v>94</v>
      </c>
      <c r="K147" s="606">
        <f>NET_publicv6_SEK</f>
        <v>0</v>
      </c>
      <c r="L147" s="10"/>
      <c r="M147" s="774"/>
      <c r="N147" s="837"/>
      <c r="O147" s="9"/>
    </row>
    <row r="148" spans="2:18" ht="25" customHeight="1">
      <c r="B148" s="141" t="s">
        <v>504</v>
      </c>
      <c r="C148" s="136" t="s">
        <v>297</v>
      </c>
      <c r="D148" s="136"/>
      <c r="E148" s="155"/>
      <c r="F148" s="39"/>
      <c r="G148" s="39"/>
      <c r="H148" s="39"/>
      <c r="I148" s="39"/>
      <c r="J148" s="873" t="s">
        <v>69</v>
      </c>
      <c r="K148" s="607">
        <f>NET_ingress_SEK</f>
        <v>0</v>
      </c>
      <c r="L148" s="10"/>
      <c r="M148" s="774"/>
      <c r="N148" s="837"/>
      <c r="O148" s="9"/>
    </row>
    <row r="149" spans="2:18" ht="25" customHeight="1">
      <c r="B149" s="144" t="s">
        <v>505</v>
      </c>
      <c r="C149" s="137" t="s">
        <v>297</v>
      </c>
      <c r="D149" s="137"/>
      <c r="E149" s="43" t="s">
        <v>298</v>
      </c>
      <c r="F149" s="874"/>
      <c r="G149" s="874"/>
      <c r="H149" s="874"/>
      <c r="I149" s="874"/>
      <c r="J149" s="876" t="s">
        <v>69</v>
      </c>
      <c r="K149" s="606">
        <f>NET_egress_SEK</f>
        <v>0.25</v>
      </c>
      <c r="L149" s="10"/>
      <c r="M149" s="774"/>
      <c r="N149" s="837"/>
      <c r="O149" s="9"/>
    </row>
    <row r="150" spans="2:18" ht="25" customHeight="1">
      <c r="B150" s="141" t="s">
        <v>506</v>
      </c>
      <c r="C150" s="136" t="s">
        <v>115</v>
      </c>
      <c r="D150" s="136"/>
      <c r="E150" s="32" t="s">
        <v>641</v>
      </c>
      <c r="F150" s="39"/>
      <c r="G150" s="39"/>
      <c r="H150" s="39"/>
      <c r="I150" s="39"/>
      <c r="J150" s="873" t="s">
        <v>240</v>
      </c>
      <c r="K150" s="607" t="s">
        <v>643</v>
      </c>
      <c r="M150" s="774"/>
    </row>
    <row r="151" spans="2:18" ht="25" customHeight="1">
      <c r="B151" s="144" t="s">
        <v>507</v>
      </c>
      <c r="C151" s="137" t="s">
        <v>118</v>
      </c>
      <c r="D151" s="137"/>
      <c r="E151" s="43"/>
      <c r="F151" s="874"/>
      <c r="G151" s="874"/>
      <c r="H151" s="874"/>
      <c r="I151" s="874"/>
      <c r="J151" s="875" t="s">
        <v>94</v>
      </c>
      <c r="K151" s="606">
        <f>NET_rdns_SEK</f>
        <v>0</v>
      </c>
      <c r="L151" s="10"/>
      <c r="M151" s="774"/>
      <c r="N151" s="837"/>
      <c r="O151" s="9"/>
    </row>
    <row r="152" spans="2:18" ht="25" customHeight="1">
      <c r="B152" s="141" t="s">
        <v>508</v>
      </c>
      <c r="C152" s="136" t="s">
        <v>121</v>
      </c>
      <c r="D152" s="136"/>
      <c r="E152" s="32"/>
      <c r="F152" s="39"/>
      <c r="G152" s="39"/>
      <c r="H152" s="39"/>
      <c r="I152" s="39"/>
      <c r="J152" s="878" t="s">
        <v>94</v>
      </c>
      <c r="K152" s="607">
        <v>0</v>
      </c>
      <c r="L152" s="10"/>
      <c r="M152" s="774"/>
      <c r="N152" s="837"/>
      <c r="O152" s="9"/>
    </row>
    <row r="153" spans="2:18" ht="25" customHeight="1">
      <c r="B153" s="704"/>
      <c r="C153" s="148"/>
      <c r="D153" s="149"/>
      <c r="E153" s="149"/>
      <c r="F153" s="149"/>
      <c r="G153" s="149"/>
      <c r="H153" s="149"/>
      <c r="I153" s="149"/>
      <c r="J153" s="148"/>
      <c r="K153" s="974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940"/>
      <c r="C155" s="721"/>
      <c r="D155" s="722"/>
      <c r="E155" s="722"/>
      <c r="F155" s="722"/>
      <c r="G155" s="722"/>
      <c r="H155" s="722"/>
      <c r="I155" s="722"/>
      <c r="J155" s="721"/>
      <c r="K155" s="975"/>
      <c r="L155" s="10"/>
      <c r="M155" s="774"/>
      <c r="N155" s="837"/>
      <c r="O155" s="9"/>
    </row>
    <row r="156" spans="2:18" ht="25" customHeight="1">
      <c r="B156" s="716" t="s">
        <v>299</v>
      </c>
      <c r="C156" s="15"/>
      <c r="D156" s="15"/>
      <c r="E156" s="15"/>
      <c r="F156" s="15"/>
      <c r="G156" s="15"/>
      <c r="H156" s="15"/>
      <c r="I156" s="15"/>
      <c r="J156" s="879"/>
      <c r="K156" s="966"/>
      <c r="M156" s="774"/>
      <c r="N156" s="837"/>
      <c r="O156" s="9"/>
    </row>
    <row r="157" spans="2:18" ht="25" customHeight="1">
      <c r="B157" s="690" t="s">
        <v>644</v>
      </c>
      <c r="M157" s="765"/>
    </row>
    <row r="158" spans="2:18" ht="25" customHeight="1">
      <c r="B158" s="515" t="s">
        <v>208</v>
      </c>
      <c r="C158" s="25"/>
      <c r="D158" s="110"/>
      <c r="E158" s="26" t="s">
        <v>277</v>
      </c>
      <c r="F158" s="880"/>
      <c r="G158" s="880"/>
      <c r="H158" s="880"/>
      <c r="I158" s="880"/>
      <c r="J158" s="25" t="s">
        <v>642</v>
      </c>
      <c r="K158" s="674" t="s">
        <v>270</v>
      </c>
      <c r="L158" s="10"/>
      <c r="M158" s="774"/>
      <c r="N158" s="837"/>
      <c r="O158" s="9"/>
    </row>
    <row r="159" spans="2:18" ht="25" customHeight="1">
      <c r="B159" s="141" t="s">
        <v>509</v>
      </c>
      <c r="C159" s="136"/>
      <c r="D159" s="32"/>
      <c r="E159" s="32" t="s">
        <v>123</v>
      </c>
      <c r="F159" s="32"/>
      <c r="G159" s="32"/>
      <c r="H159" s="32"/>
      <c r="I159" s="32"/>
      <c r="J159" s="873" t="s">
        <v>10</v>
      </c>
      <c r="K159" s="944">
        <f>SW_win.ser.201X_SEK</f>
        <v>78</v>
      </c>
      <c r="L159" s="835"/>
      <c r="M159" s="774"/>
      <c r="N159" s="837"/>
      <c r="O159" s="9"/>
      <c r="Q159" s="752"/>
      <c r="R159" s="752"/>
    </row>
    <row r="160" spans="2:18" ht="25" customHeight="1">
      <c r="B160" s="144" t="s">
        <v>510</v>
      </c>
      <c r="C160" s="137"/>
      <c r="D160" s="40"/>
      <c r="E160" s="40" t="s">
        <v>125</v>
      </c>
      <c r="F160" s="874"/>
      <c r="G160" s="874"/>
      <c r="H160" s="874"/>
      <c r="I160" s="874"/>
      <c r="J160" s="876" t="s">
        <v>10</v>
      </c>
      <c r="K160" s="945">
        <f>SW_win.ser.201X_SEK</f>
        <v>78</v>
      </c>
      <c r="L160" s="835"/>
      <c r="M160" s="774"/>
      <c r="N160" s="837"/>
      <c r="O160" s="9"/>
      <c r="Q160" s="752"/>
      <c r="R160" s="752"/>
    </row>
    <row r="161" spans="2:18" s="6" customFormat="1" ht="25" customHeight="1">
      <c r="B161" s="141" t="s">
        <v>511</v>
      </c>
      <c r="C161" s="136"/>
      <c r="D161" s="32"/>
      <c r="E161" s="32" t="s">
        <v>418</v>
      </c>
      <c r="F161" s="32"/>
      <c r="G161" s="32"/>
      <c r="H161" s="32"/>
      <c r="I161" s="32"/>
      <c r="J161" s="873" t="s">
        <v>10</v>
      </c>
      <c r="K161" s="944">
        <f>SW_ms.sql.ser_SEK</f>
        <v>1498</v>
      </c>
      <c r="M161" s="774"/>
      <c r="N161" s="837"/>
      <c r="O161" s="9"/>
    </row>
    <row r="162" spans="2:18" ht="25" customHeight="1">
      <c r="B162" s="144" t="s">
        <v>512</v>
      </c>
      <c r="C162" s="137"/>
      <c r="D162" s="40"/>
      <c r="E162" s="40" t="s">
        <v>129</v>
      </c>
      <c r="F162" s="874"/>
      <c r="G162" s="874"/>
      <c r="H162" s="874"/>
      <c r="I162" s="874"/>
      <c r="J162" s="876" t="s">
        <v>242</v>
      </c>
      <c r="K162" s="606" t="s">
        <v>643</v>
      </c>
      <c r="L162" s="10"/>
      <c r="M162" s="774"/>
      <c r="N162" s="837"/>
      <c r="O162" s="9"/>
    </row>
    <row r="163" spans="2:18" ht="25" customHeight="1">
      <c r="B163" s="141" t="s">
        <v>513</v>
      </c>
      <c r="C163" s="136"/>
      <c r="D163" s="32"/>
      <c r="E163" s="32" t="s">
        <v>131</v>
      </c>
      <c r="F163" s="32"/>
      <c r="G163" s="32"/>
      <c r="H163" s="32"/>
      <c r="I163" s="32"/>
      <c r="J163" s="878" t="s">
        <v>94</v>
      </c>
      <c r="K163" s="607" t="s">
        <v>643</v>
      </c>
      <c r="L163" s="835"/>
      <c r="M163" s="774"/>
      <c r="N163" s="837"/>
      <c r="O163" s="9"/>
      <c r="Q163" s="752"/>
      <c r="R163" s="752"/>
    </row>
    <row r="164" spans="2:18" s="6" customFormat="1" ht="25" customHeight="1">
      <c r="B164" s="144" t="s">
        <v>514</v>
      </c>
      <c r="C164" s="137"/>
      <c r="D164" s="40"/>
      <c r="E164" s="40" t="s">
        <v>133</v>
      </c>
      <c r="F164" s="874"/>
      <c r="G164" s="874"/>
      <c r="H164" s="874"/>
      <c r="I164" s="874"/>
      <c r="J164" s="875" t="s">
        <v>94</v>
      </c>
      <c r="K164" s="606" t="s">
        <v>643</v>
      </c>
      <c r="M164" s="774"/>
      <c r="N164" s="837"/>
      <c r="O164" s="9"/>
    </row>
    <row r="165" spans="2:18" ht="25" customHeight="1">
      <c r="B165" s="141" t="s">
        <v>515</v>
      </c>
      <c r="C165" s="136"/>
      <c r="D165" s="32"/>
      <c r="E165" s="32" t="s">
        <v>135</v>
      </c>
      <c r="F165" s="32"/>
      <c r="G165" s="32"/>
      <c r="H165" s="32"/>
      <c r="I165" s="32"/>
      <c r="J165" s="878" t="s">
        <v>94</v>
      </c>
      <c r="K165" s="607" t="str">
        <f>SW_cluster.control_SEK</f>
        <v>3x instanspris</v>
      </c>
      <c r="L165" s="10"/>
      <c r="M165" s="774"/>
      <c r="N165" s="837"/>
      <c r="O165" s="9"/>
    </row>
    <row r="166" spans="2:18" ht="25" customHeight="1">
      <c r="B166" s="144" t="s">
        <v>516</v>
      </c>
      <c r="C166" s="137"/>
      <c r="D166" s="40"/>
      <c r="E166" s="40" t="s">
        <v>137</v>
      </c>
      <c r="F166" s="874"/>
      <c r="G166" s="874"/>
      <c r="H166" s="874"/>
      <c r="I166" s="874"/>
      <c r="J166" s="876" t="s">
        <v>138</v>
      </c>
      <c r="K166" s="945">
        <f>SW_backup.ninja_SEK</f>
        <v>400</v>
      </c>
      <c r="L166" s="10"/>
      <c r="M166" s="774"/>
      <c r="N166" s="837"/>
      <c r="O166" s="9"/>
    </row>
    <row r="167" spans="2:18" ht="25" customHeight="1">
      <c r="B167" s="109"/>
      <c r="C167" s="106"/>
      <c r="D167" s="107"/>
      <c r="E167" s="108"/>
      <c r="F167" s="881"/>
      <c r="G167" s="881"/>
      <c r="H167" s="881"/>
      <c r="I167" s="881"/>
      <c r="J167" s="882"/>
      <c r="K167" s="977"/>
      <c r="L167" s="10"/>
      <c r="M167" s="774"/>
      <c r="N167" s="837"/>
      <c r="O167" s="9"/>
    </row>
    <row r="168" spans="2:18" ht="25" customHeight="1">
      <c r="B168" s="144"/>
      <c r="C168" s="137"/>
      <c r="D168" s="43"/>
      <c r="E168" s="33"/>
      <c r="F168" s="874"/>
      <c r="G168" s="874"/>
      <c r="H168" s="874"/>
      <c r="I168" s="874"/>
      <c r="J168" s="883"/>
      <c r="K168" s="606"/>
      <c r="L168" s="10"/>
      <c r="M168" s="774"/>
      <c r="N168" s="837"/>
      <c r="O168" s="9"/>
    </row>
    <row r="169" spans="2:18" ht="25" customHeight="1">
      <c r="J169" s="10"/>
      <c r="K169" s="966"/>
      <c r="M169" s="774"/>
      <c r="N169" s="837"/>
      <c r="O169" s="9"/>
    </row>
    <row r="170" spans="2:18" ht="25" customHeight="1">
      <c r="B170" s="716" t="s">
        <v>645</v>
      </c>
      <c r="C170" s="15"/>
      <c r="D170" s="15"/>
      <c r="F170" s="15"/>
      <c r="G170" s="15"/>
      <c r="H170" s="15"/>
      <c r="I170" s="15"/>
      <c r="J170" s="15"/>
      <c r="K170" s="966"/>
      <c r="M170" s="774"/>
      <c r="N170" s="837"/>
      <c r="O170" s="9"/>
    </row>
    <row r="171" spans="2:18" ht="25" customHeight="1">
      <c r="B171" s="690" t="s">
        <v>646</v>
      </c>
      <c r="M171" s="765"/>
    </row>
    <row r="172" spans="2:18" ht="25" customHeight="1">
      <c r="B172" s="510" t="s">
        <v>208</v>
      </c>
      <c r="C172" s="25"/>
      <c r="D172" s="25"/>
      <c r="E172" s="26" t="s">
        <v>277</v>
      </c>
      <c r="F172" s="26"/>
      <c r="G172" s="26"/>
      <c r="H172" s="26"/>
      <c r="I172" s="26"/>
      <c r="J172" s="1015"/>
      <c r="K172" s="674" t="s">
        <v>270</v>
      </c>
      <c r="M172" s="774"/>
      <c r="N172" s="837"/>
      <c r="O172" s="9"/>
    </row>
    <row r="173" spans="2:18" ht="25" customHeight="1">
      <c r="B173" s="141" t="s">
        <v>501</v>
      </c>
      <c r="C173" s="136"/>
      <c r="D173" s="32"/>
      <c r="E173" s="32" t="s">
        <v>415</v>
      </c>
      <c r="F173" s="32"/>
      <c r="G173" s="32"/>
      <c r="H173" s="32"/>
      <c r="I173" s="32"/>
      <c r="J173" s="42"/>
      <c r="K173" s="991">
        <f>PAAS_man.kubernetes_SEK</f>
        <v>24000</v>
      </c>
      <c r="M173" s="774"/>
      <c r="N173" s="837"/>
      <c r="O173" s="9"/>
    </row>
    <row r="174" spans="2:18" ht="25" customHeight="1">
      <c r="B174" s="144" t="s">
        <v>517</v>
      </c>
      <c r="C174" s="137"/>
      <c r="D174" s="40"/>
      <c r="E174" s="40" t="s">
        <v>416</v>
      </c>
      <c r="F174" s="874"/>
      <c r="G174" s="874"/>
      <c r="H174" s="874"/>
      <c r="I174" s="874"/>
      <c r="J174" s="883"/>
      <c r="K174" s="945">
        <f>PAAS_man.postgres.sql_SEK</f>
        <v>15000</v>
      </c>
      <c r="M174" s="774"/>
      <c r="N174" s="837"/>
      <c r="O174" s="9"/>
    </row>
    <row r="175" spans="2:18" ht="25" customHeight="1">
      <c r="B175" s="141" t="s">
        <v>518</v>
      </c>
      <c r="C175" s="136"/>
      <c r="D175" s="32"/>
      <c r="E175" s="32" t="s">
        <v>417</v>
      </c>
      <c r="F175" s="32"/>
      <c r="G175" s="32"/>
      <c r="H175" s="32"/>
      <c r="I175" s="32"/>
      <c r="J175" s="42"/>
      <c r="K175" s="607" t="s">
        <v>643</v>
      </c>
      <c r="M175" s="774"/>
      <c r="N175" s="837"/>
      <c r="O175" s="9"/>
    </row>
    <row r="176" spans="2:18" ht="25" customHeight="1">
      <c r="B176" s="144" t="s">
        <v>519</v>
      </c>
      <c r="C176" s="137"/>
      <c r="D176" s="40"/>
      <c r="E176" s="40" t="s">
        <v>437</v>
      </c>
      <c r="F176" s="874"/>
      <c r="G176" s="874"/>
      <c r="H176" s="874"/>
      <c r="I176" s="874"/>
      <c r="J176" s="883"/>
      <c r="K176" s="606">
        <f>PAAS_openshift_SEK</f>
        <v>0</v>
      </c>
      <c r="M176" s="774"/>
      <c r="N176" s="837"/>
      <c r="O176" s="9"/>
    </row>
    <row r="177" spans="2:20" ht="25" customHeight="1">
      <c r="B177" s="141" t="s">
        <v>520</v>
      </c>
      <c r="C177" s="136"/>
      <c r="D177" s="32"/>
      <c r="E177" s="32" t="s">
        <v>147</v>
      </c>
      <c r="F177" s="32"/>
      <c r="G177" s="32"/>
      <c r="H177" s="32"/>
      <c r="I177" s="32"/>
      <c r="J177" s="42"/>
      <c r="K177" s="607" t="s">
        <v>643</v>
      </c>
      <c r="M177" s="774"/>
      <c r="N177" s="837"/>
      <c r="O177" s="9"/>
    </row>
    <row r="178" spans="2:20" ht="25" customHeight="1">
      <c r="B178" s="144" t="s">
        <v>521</v>
      </c>
      <c r="C178" s="137"/>
      <c r="D178" s="40"/>
      <c r="E178" s="40" t="s">
        <v>150</v>
      </c>
      <c r="F178" s="874"/>
      <c r="G178" s="874"/>
      <c r="H178" s="874"/>
      <c r="I178" s="874"/>
      <c r="J178" s="883"/>
      <c r="K178" s="606" t="s">
        <v>643</v>
      </c>
      <c r="M178" s="774"/>
      <c r="N178" s="837"/>
      <c r="O178" s="9"/>
    </row>
    <row r="179" spans="2:20" ht="25" customHeight="1">
      <c r="B179" s="141" t="s">
        <v>452</v>
      </c>
      <c r="C179" s="136"/>
      <c r="D179" s="32"/>
      <c r="E179" s="32" t="s">
        <v>144</v>
      </c>
      <c r="F179" s="32"/>
      <c r="G179" s="32"/>
      <c r="H179" s="32"/>
      <c r="I179" s="32"/>
      <c r="J179" s="42"/>
      <c r="K179" s="607" t="s">
        <v>643</v>
      </c>
      <c r="M179" s="774"/>
      <c r="N179" s="837"/>
      <c r="O179" s="9"/>
    </row>
    <row r="180" spans="2:20" ht="25" customHeight="1">
      <c r="B180" s="109"/>
      <c r="C180" s="106"/>
      <c r="D180" s="428"/>
      <c r="E180" s="108"/>
      <c r="F180" s="881"/>
      <c r="G180" s="881"/>
      <c r="H180" s="881"/>
      <c r="I180" s="881"/>
      <c r="J180" s="882"/>
      <c r="K180" s="977"/>
      <c r="M180" s="774"/>
      <c r="N180" s="837"/>
      <c r="O180" s="9"/>
    </row>
    <row r="181" spans="2:20" ht="25" customHeight="1">
      <c r="B181" s="144"/>
      <c r="C181" s="137"/>
      <c r="D181" s="40"/>
      <c r="E181" s="33"/>
      <c r="F181" s="874"/>
      <c r="G181" s="883"/>
      <c r="H181" s="876"/>
      <c r="I181" s="588"/>
      <c r="M181" s="774"/>
      <c r="O181" s="10"/>
    </row>
    <row r="182" spans="2:20" ht="25" customHeight="1">
      <c r="B182" s="448"/>
      <c r="C182" s="28"/>
      <c r="D182" s="28"/>
      <c r="E182" s="28"/>
      <c r="F182" s="856"/>
      <c r="G182" s="857"/>
      <c r="H182" s="28"/>
      <c r="I182" s="835"/>
      <c r="J182" s="835"/>
      <c r="K182" s="963"/>
      <c r="L182" s="837"/>
      <c r="M182" s="774"/>
      <c r="N182" s="752"/>
      <c r="O182" s="752"/>
    </row>
    <row r="183" spans="2:20" s="6" customFormat="1" ht="25" customHeight="1">
      <c r="B183" s="1072" t="s">
        <v>301</v>
      </c>
      <c r="C183" s="1072"/>
      <c r="D183" s="1072"/>
      <c r="E183" s="1072"/>
      <c r="F183" s="1072"/>
      <c r="G183" s="1072"/>
      <c r="H183" s="884"/>
      <c r="J183" s="749"/>
      <c r="K183" s="950"/>
      <c r="M183" s="774"/>
    </row>
    <row r="184" spans="2:20" s="6" customFormat="1" ht="25" customHeight="1">
      <c r="B184" s="1072"/>
      <c r="C184" s="1072"/>
      <c r="D184" s="1072"/>
      <c r="E184" s="1072"/>
      <c r="F184" s="1072"/>
      <c r="G184" s="1072"/>
      <c r="H184" s="884"/>
      <c r="J184" s="749"/>
      <c r="K184" s="950"/>
      <c r="M184" s="774"/>
    </row>
    <row r="185" spans="2:20" s="6" customFormat="1" ht="25" customHeight="1">
      <c r="B185" s="1072"/>
      <c r="C185" s="1072"/>
      <c r="D185" s="1072"/>
      <c r="E185" s="1072"/>
      <c r="F185" s="1072"/>
      <c r="G185" s="1072"/>
      <c r="H185" s="884"/>
      <c r="J185" s="749"/>
      <c r="K185" s="950"/>
      <c r="M185" s="774"/>
    </row>
    <row r="186" spans="2:20" s="6" customFormat="1" ht="25" customHeight="1">
      <c r="B186" s="1074" t="s">
        <v>647</v>
      </c>
      <c r="C186" s="1074"/>
      <c r="D186" s="1074"/>
      <c r="E186" s="1074"/>
      <c r="F186" s="1074"/>
      <c r="H186" s="884"/>
      <c r="J186" s="749"/>
      <c r="K186" s="950"/>
      <c r="M186" s="774"/>
    </row>
    <row r="187" spans="2:20" s="6" customFormat="1" ht="25" customHeight="1">
      <c r="B187" s="1075" t="s">
        <v>421</v>
      </c>
      <c r="C187" s="1075"/>
      <c r="D187" s="1075"/>
      <c r="E187" s="1075"/>
      <c r="F187" s="1075"/>
      <c r="G187" s="754"/>
      <c r="H187" s="755"/>
      <c r="I187" s="754"/>
      <c r="J187" s="756"/>
      <c r="K187" s="951"/>
      <c r="L187" s="754"/>
      <c r="M187" s="774"/>
    </row>
    <row r="188" spans="2:20" s="6" customFormat="1" ht="25" customHeight="1">
      <c r="B188" s="1013"/>
      <c r="C188" s="1011"/>
      <c r="D188" s="1011"/>
      <c r="E188" s="1011"/>
      <c r="F188" s="1011"/>
      <c r="G188" s="754"/>
      <c r="H188" s="755"/>
      <c r="I188" s="754"/>
      <c r="J188" s="756"/>
      <c r="K188" s="951"/>
      <c r="L188" s="754"/>
      <c r="M188" s="774"/>
    </row>
    <row r="189" spans="2:20" ht="25" customHeight="1">
      <c r="B189" s="716" t="s">
        <v>152</v>
      </c>
      <c r="C189" s="15"/>
      <c r="D189" s="15"/>
      <c r="F189" s="15"/>
      <c r="G189" s="15"/>
      <c r="H189" s="15"/>
      <c r="I189" s="15"/>
      <c r="J189" s="15"/>
      <c r="K189" s="978"/>
      <c r="L189" s="15"/>
      <c r="M189" s="774"/>
      <c r="O189" s="837"/>
      <c r="P189" s="837"/>
      <c r="Q189" s="9"/>
      <c r="S189" s="752"/>
      <c r="T189" s="752"/>
    </row>
    <row r="190" spans="2:20" ht="25" customHeight="1">
      <c r="B190" s="690" t="s">
        <v>648</v>
      </c>
      <c r="M190" s="765"/>
    </row>
    <row r="191" spans="2:20" ht="25" customHeight="1">
      <c r="B191" s="510" t="s">
        <v>208</v>
      </c>
      <c r="C191" s="25"/>
      <c r="D191" s="26" t="s">
        <v>277</v>
      </c>
      <c r="E191" s="1020"/>
      <c r="F191" s="26"/>
      <c r="G191" s="1015"/>
      <c r="H191" s="1015"/>
      <c r="I191" s="25" t="s">
        <v>642</v>
      </c>
      <c r="J191" s="25"/>
      <c r="K191" s="674" t="s">
        <v>92</v>
      </c>
      <c r="L191" s="835"/>
      <c r="M191" s="774"/>
      <c r="N191" s="837"/>
      <c r="O191" s="9"/>
      <c r="Q191" s="752"/>
      <c r="R191" s="752"/>
    </row>
    <row r="192" spans="2:20" ht="25" customHeight="1">
      <c r="B192" s="141" t="s">
        <v>522</v>
      </c>
      <c r="C192" s="136"/>
      <c r="D192" s="32" t="s">
        <v>422</v>
      </c>
      <c r="E192" s="42"/>
      <c r="F192" s="32"/>
      <c r="G192" s="42"/>
      <c r="H192" s="42"/>
      <c r="I192" s="878" t="s">
        <v>94</v>
      </c>
      <c r="J192" s="878"/>
      <c r="K192" s="651">
        <v>0</v>
      </c>
      <c r="L192" s="835"/>
      <c r="M192" s="774"/>
      <c r="N192" s="837"/>
      <c r="O192" s="9"/>
      <c r="Q192" s="752"/>
      <c r="R192" s="752"/>
    </row>
    <row r="193" spans="2:18" ht="25" customHeight="1">
      <c r="B193" s="144" t="s">
        <v>523</v>
      </c>
      <c r="C193" s="137"/>
      <c r="D193" s="40" t="s">
        <v>156</v>
      </c>
      <c r="E193" s="33"/>
      <c r="F193" s="874"/>
      <c r="G193" s="883"/>
      <c r="H193" s="883"/>
      <c r="I193" s="876" t="s">
        <v>246</v>
      </c>
      <c r="J193" s="876"/>
      <c r="K193" s="1021" t="s">
        <v>649</v>
      </c>
      <c r="L193" s="835"/>
      <c r="M193" s="988" t="s">
        <v>598</v>
      </c>
      <c r="N193" s="837"/>
      <c r="O193" s="9"/>
      <c r="Q193" s="752"/>
      <c r="R193" s="752"/>
    </row>
    <row r="194" spans="2:18" ht="25" customHeight="1">
      <c r="B194" s="141" t="s">
        <v>524</v>
      </c>
      <c r="C194" s="136"/>
      <c r="D194" s="32" t="s">
        <v>160</v>
      </c>
      <c r="E194" s="136"/>
      <c r="F194" s="136"/>
      <c r="G194" s="136"/>
      <c r="H194" s="42"/>
      <c r="I194" s="873" t="s">
        <v>248</v>
      </c>
      <c r="J194" s="873"/>
      <c r="K194" s="607" t="s">
        <v>643</v>
      </c>
      <c r="L194" s="835"/>
      <c r="M194" s="774"/>
      <c r="N194" s="837"/>
      <c r="O194" s="9"/>
      <c r="Q194" s="752"/>
      <c r="R194" s="752"/>
    </row>
    <row r="195" spans="2:18" ht="25" customHeight="1">
      <c r="B195" s="109"/>
      <c r="C195" s="106"/>
      <c r="D195" s="106"/>
      <c r="E195" s="108"/>
      <c r="F195" s="881"/>
      <c r="G195" s="882"/>
      <c r="H195" s="882"/>
      <c r="I195" s="885"/>
      <c r="J195" s="885"/>
      <c r="K195" s="977"/>
      <c r="L195" s="835"/>
      <c r="M195" s="774"/>
      <c r="N195" s="837"/>
      <c r="O195" s="9"/>
      <c r="Q195" s="752"/>
      <c r="R195" s="752"/>
    </row>
    <row r="196" spans="2:18" ht="25" customHeight="1">
      <c r="B196" s="144"/>
      <c r="C196" s="137"/>
      <c r="D196" s="40"/>
      <c r="E196" s="33"/>
      <c r="F196" s="874"/>
      <c r="G196" s="883"/>
      <c r="H196" s="883"/>
      <c r="I196" s="876"/>
      <c r="J196" s="876"/>
      <c r="K196" s="606"/>
      <c r="L196" s="835"/>
      <c r="M196" s="774"/>
      <c r="N196" s="837"/>
      <c r="O196" s="9"/>
      <c r="Q196" s="752"/>
      <c r="R196" s="752"/>
    </row>
    <row r="197" spans="2:18" s="718" customFormat="1" ht="25" customHeight="1">
      <c r="B197" s="716" t="s">
        <v>650</v>
      </c>
      <c r="C197" s="1004"/>
      <c r="D197" s="1004"/>
      <c r="F197" s="1004"/>
      <c r="G197" s="1004"/>
      <c r="H197" s="1004"/>
      <c r="I197" s="1005"/>
      <c r="J197" s="1005"/>
      <c r="K197" s="789"/>
      <c r="L197" s="1006"/>
      <c r="M197" s="1007"/>
      <c r="N197" s="1008"/>
      <c r="O197" s="1009"/>
      <c r="Q197" s="1009"/>
      <c r="R197" s="1009"/>
    </row>
    <row r="198" spans="2:18" ht="25" customHeight="1">
      <c r="B198" s="690" t="s">
        <v>651</v>
      </c>
      <c r="M198" s="765"/>
    </row>
    <row r="199" spans="2:18" ht="25" customHeight="1">
      <c r="B199" s="510" t="s">
        <v>208</v>
      </c>
      <c r="C199" s="25"/>
      <c r="D199" s="26" t="s">
        <v>277</v>
      </c>
      <c r="E199" s="1020"/>
      <c r="F199" s="26"/>
      <c r="G199" s="1015"/>
      <c r="H199" s="1015"/>
      <c r="I199" s="25" t="s">
        <v>642</v>
      </c>
      <c r="J199" s="25"/>
      <c r="K199" s="674" t="s">
        <v>92</v>
      </c>
      <c r="L199" s="835"/>
      <c r="M199" s="774"/>
      <c r="N199" s="837"/>
      <c r="O199" s="9"/>
      <c r="Q199" s="752"/>
      <c r="R199" s="752"/>
    </row>
    <row r="200" spans="2:18" ht="25" customHeight="1">
      <c r="B200" s="141" t="s">
        <v>525</v>
      </c>
      <c r="C200" s="136"/>
      <c r="D200" s="32" t="s">
        <v>166</v>
      </c>
      <c r="E200" s="42"/>
      <c r="F200" s="32"/>
      <c r="G200" s="42"/>
      <c r="H200" s="42"/>
      <c r="I200" s="873" t="s">
        <v>248</v>
      </c>
      <c r="J200" s="873"/>
      <c r="K200" s="989">
        <f>PS_consult.jun_SEK</f>
        <v>1127</v>
      </c>
      <c r="L200" s="835"/>
      <c r="M200" s="774"/>
      <c r="N200" s="837"/>
      <c r="O200" s="9"/>
      <c r="Q200" s="752"/>
      <c r="R200" s="752"/>
    </row>
    <row r="201" spans="2:18" ht="25" customHeight="1">
      <c r="B201" s="144" t="s">
        <v>526</v>
      </c>
      <c r="C201" s="137"/>
      <c r="D201" s="40" t="s">
        <v>168</v>
      </c>
      <c r="E201" s="33"/>
      <c r="F201" s="874"/>
      <c r="G201" s="883"/>
      <c r="H201" s="883"/>
      <c r="I201" s="876" t="s">
        <v>248</v>
      </c>
      <c r="J201" s="876"/>
      <c r="K201" s="990">
        <f>PS_consult.sen_SEK</f>
        <v>1374</v>
      </c>
      <c r="L201" s="835"/>
      <c r="M201" s="774"/>
      <c r="N201" s="837"/>
      <c r="O201" s="9"/>
      <c r="Q201" s="752"/>
      <c r="R201" s="752"/>
    </row>
    <row r="202" spans="2:18" ht="25" customHeight="1">
      <c r="B202" s="141" t="s">
        <v>527</v>
      </c>
      <c r="C202" s="136"/>
      <c r="D202" s="32" t="s">
        <v>170</v>
      </c>
      <c r="E202" s="42"/>
      <c r="F202" s="32"/>
      <c r="G202" s="42"/>
      <c r="H202" s="42"/>
      <c r="I202" s="873" t="s">
        <v>248</v>
      </c>
      <c r="J202" s="873"/>
      <c r="K202" s="989">
        <f>PS_cloudarch.jun_SEK</f>
        <v>1277</v>
      </c>
      <c r="L202" s="835"/>
      <c r="M202" s="774"/>
      <c r="N202" s="837"/>
      <c r="O202" s="9"/>
      <c r="Q202" s="752"/>
      <c r="R202" s="752"/>
    </row>
    <row r="203" spans="2:18" ht="25" customHeight="1">
      <c r="B203" s="144" t="s">
        <v>528</v>
      </c>
      <c r="C203" s="137"/>
      <c r="D203" s="40" t="s">
        <v>172</v>
      </c>
      <c r="E203" s="40"/>
      <c r="F203" s="40"/>
      <c r="G203" s="883"/>
      <c r="H203" s="883"/>
      <c r="I203" s="876" t="s">
        <v>248</v>
      </c>
      <c r="J203" s="876"/>
      <c r="K203" s="990">
        <f>PS_cloudarch.sen_SEK</f>
        <v>1374</v>
      </c>
      <c r="L203" s="835"/>
      <c r="M203" s="774"/>
      <c r="N203" s="837"/>
      <c r="O203" s="9"/>
      <c r="Q203" s="752"/>
      <c r="R203" s="752"/>
    </row>
    <row r="204" spans="2:18" ht="25" customHeight="1">
      <c r="B204" s="141" t="s">
        <v>529</v>
      </c>
      <c r="C204" s="136"/>
      <c r="D204" s="32" t="s">
        <v>174</v>
      </c>
      <c r="E204" s="42"/>
      <c r="F204" s="32"/>
      <c r="G204" s="42"/>
      <c r="H204" s="42"/>
      <c r="I204" s="873" t="s">
        <v>248</v>
      </c>
      <c r="J204" s="873"/>
      <c r="K204" s="989">
        <f>PS_pm.jun_SEK</f>
        <v>1139</v>
      </c>
      <c r="L204" s="835"/>
      <c r="M204" s="774"/>
      <c r="N204" s="837"/>
      <c r="O204" s="9"/>
      <c r="Q204" s="752"/>
      <c r="R204" s="752"/>
    </row>
    <row r="205" spans="2:18" ht="25" customHeight="1">
      <c r="B205" s="144" t="s">
        <v>530</v>
      </c>
      <c r="C205" s="137"/>
      <c r="D205" s="40" t="s">
        <v>176</v>
      </c>
      <c r="E205" s="33"/>
      <c r="F205" s="874"/>
      <c r="G205" s="883"/>
      <c r="H205" s="883"/>
      <c r="I205" s="876" t="s">
        <v>248</v>
      </c>
      <c r="J205" s="876"/>
      <c r="K205" s="990">
        <f>PS_pm.sen_SEK</f>
        <v>1374</v>
      </c>
      <c r="L205" s="835"/>
      <c r="M205" s="774"/>
      <c r="N205" s="837"/>
      <c r="O205" s="9"/>
      <c r="Q205" s="752"/>
      <c r="R205" s="752"/>
    </row>
    <row r="206" spans="2:18" ht="25" customHeight="1">
      <c r="B206" s="109"/>
      <c r="C206" s="106"/>
      <c r="D206" s="428"/>
      <c r="E206" s="108"/>
      <c r="F206" s="881"/>
      <c r="G206" s="882"/>
      <c r="H206" s="882"/>
      <c r="I206" s="885"/>
      <c r="J206" s="885"/>
      <c r="K206" s="977"/>
      <c r="L206" s="835"/>
      <c r="M206" s="774"/>
      <c r="N206" s="837"/>
      <c r="O206" s="9"/>
      <c r="Q206" s="752"/>
      <c r="R206" s="752"/>
    </row>
    <row r="207" spans="2:18" ht="25" customHeight="1">
      <c r="B207" s="144"/>
      <c r="C207" s="137"/>
      <c r="D207" s="40"/>
      <c r="E207" s="33"/>
      <c r="F207" s="874"/>
      <c r="G207" s="883"/>
      <c r="H207" s="883"/>
      <c r="I207" s="876"/>
      <c r="J207" s="876"/>
      <c r="K207" s="606"/>
      <c r="M207" s="774"/>
      <c r="N207" s="837"/>
      <c r="O207" s="9"/>
    </row>
    <row r="208" spans="2:18" ht="25" customHeight="1">
      <c r="B208" s="716" t="s">
        <v>252</v>
      </c>
      <c r="C208" s="15"/>
      <c r="D208" s="15"/>
      <c r="F208" s="15"/>
      <c r="G208" s="15"/>
      <c r="H208" s="15"/>
      <c r="I208" s="879"/>
      <c r="J208" s="879"/>
      <c r="K208" s="966"/>
      <c r="L208" s="835"/>
      <c r="M208" s="774"/>
      <c r="N208" s="837"/>
      <c r="O208" s="9"/>
      <c r="Q208" s="752"/>
      <c r="R208" s="752"/>
    </row>
    <row r="209" spans="1:18" ht="25" customHeight="1">
      <c r="B209" s="690" t="s">
        <v>652</v>
      </c>
      <c r="M209" s="765"/>
    </row>
    <row r="210" spans="1:18" ht="25" customHeight="1">
      <c r="B210" s="510" t="s">
        <v>208</v>
      </c>
      <c r="C210" s="25"/>
      <c r="D210" s="26" t="s">
        <v>277</v>
      </c>
      <c r="E210" s="1020"/>
      <c r="F210" s="26"/>
      <c r="G210" s="25" t="s">
        <v>253</v>
      </c>
      <c r="H210" s="25"/>
      <c r="I210" s="25" t="s">
        <v>642</v>
      </c>
      <c r="J210" s="25"/>
      <c r="K210" s="674" t="s">
        <v>92</v>
      </c>
      <c r="L210" s="835"/>
      <c r="M210" s="774"/>
      <c r="N210" s="837"/>
      <c r="O210" s="9"/>
      <c r="Q210" s="752"/>
      <c r="R210" s="752"/>
    </row>
    <row r="211" spans="1:18" ht="25" customHeight="1">
      <c r="B211" s="141" t="s">
        <v>531</v>
      </c>
      <c r="C211" s="136"/>
      <c r="D211" s="32" t="s">
        <v>254</v>
      </c>
      <c r="E211" s="42"/>
      <c r="F211" s="32"/>
      <c r="G211" s="873" t="s">
        <v>255</v>
      </c>
      <c r="H211" s="873"/>
      <c r="I211" s="873" t="s">
        <v>309</v>
      </c>
      <c r="J211" s="873"/>
      <c r="K211" s="651" t="s">
        <v>643</v>
      </c>
      <c r="L211" s="835"/>
      <c r="M211" s="774"/>
      <c r="N211" s="837"/>
      <c r="O211" s="9"/>
      <c r="Q211" s="752"/>
      <c r="R211" s="752"/>
    </row>
    <row r="212" spans="1:18" ht="25" customHeight="1">
      <c r="B212" s="144" t="s">
        <v>532</v>
      </c>
      <c r="C212" s="137"/>
      <c r="D212" s="40" t="s">
        <v>257</v>
      </c>
      <c r="E212" s="33"/>
      <c r="F212" s="874"/>
      <c r="G212" s="876" t="s">
        <v>255</v>
      </c>
      <c r="H212" s="876"/>
      <c r="I212" s="876" t="s">
        <v>309</v>
      </c>
      <c r="J212" s="876"/>
      <c r="K212" s="1021" t="s">
        <v>643</v>
      </c>
      <c r="L212" s="835"/>
      <c r="M212" s="774"/>
      <c r="N212" s="837"/>
      <c r="O212" s="9"/>
      <c r="Q212" s="752"/>
      <c r="R212" s="752"/>
    </row>
    <row r="213" spans="1:18" ht="25" customHeight="1">
      <c r="B213" s="141" t="s">
        <v>533</v>
      </c>
      <c r="C213" s="136"/>
      <c r="D213" s="32" t="s">
        <v>258</v>
      </c>
      <c r="E213" s="42"/>
      <c r="F213" s="32"/>
      <c r="G213" s="873" t="s">
        <v>653</v>
      </c>
      <c r="H213" s="873"/>
      <c r="I213" s="873" t="s">
        <v>309</v>
      </c>
      <c r="J213" s="873"/>
      <c r="K213" s="651" t="s">
        <v>643</v>
      </c>
      <c r="L213" s="835"/>
      <c r="M213" s="774"/>
      <c r="N213" s="837"/>
      <c r="O213" s="9"/>
      <c r="Q213" s="752"/>
      <c r="R213" s="752"/>
    </row>
    <row r="214" spans="1:18" ht="25" customHeight="1">
      <c r="B214" s="144" t="s">
        <v>534</v>
      </c>
      <c r="C214" s="137"/>
      <c r="D214" s="40" t="s">
        <v>260</v>
      </c>
      <c r="E214" s="33"/>
      <c r="F214" s="874"/>
      <c r="G214" s="876" t="s">
        <v>653</v>
      </c>
      <c r="H214" s="876"/>
      <c r="I214" s="876" t="s">
        <v>309</v>
      </c>
      <c r="J214" s="876"/>
      <c r="K214" s="1021" t="s">
        <v>643</v>
      </c>
      <c r="L214" s="835"/>
      <c r="M214" s="774"/>
      <c r="N214" s="837"/>
      <c r="O214" s="9"/>
      <c r="Q214" s="752"/>
      <c r="R214" s="752"/>
    </row>
    <row r="215" spans="1:18" ht="25" customHeight="1">
      <c r="B215" s="109"/>
      <c r="C215" s="106"/>
      <c r="D215" s="428"/>
      <c r="E215" s="108"/>
      <c r="F215" s="881"/>
      <c r="G215" s="882"/>
      <c r="H215" s="882"/>
      <c r="I215" s="882"/>
      <c r="J215" s="882"/>
      <c r="K215" s="977"/>
      <c r="L215" s="835"/>
      <c r="M215" s="774"/>
      <c r="N215" s="837"/>
      <c r="O215" s="9"/>
      <c r="Q215" s="752"/>
      <c r="R215" s="752"/>
    </row>
    <row r="216" spans="1:18" ht="25" customHeight="1">
      <c r="B216" s="448"/>
      <c r="C216" s="28"/>
      <c r="D216" s="28"/>
      <c r="E216" s="28"/>
      <c r="F216" s="856"/>
      <c r="G216" s="857"/>
      <c r="H216" s="835"/>
      <c r="I216" s="835"/>
      <c r="J216" s="835"/>
      <c r="K216" s="964"/>
      <c r="L216" s="837"/>
      <c r="M216" s="774"/>
      <c r="N216" s="752"/>
      <c r="O216" s="752"/>
    </row>
    <row r="217" spans="1:18" ht="25" customHeight="1">
      <c r="A217" s="870"/>
      <c r="B217" s="705"/>
      <c r="C217" s="62"/>
      <c r="D217" s="62"/>
      <c r="E217" s="62"/>
      <c r="F217" s="886"/>
      <c r="G217" s="887"/>
      <c r="H217" s="888"/>
      <c r="I217" s="889"/>
      <c r="J217" s="890"/>
      <c r="K217" s="979"/>
      <c r="L217" s="891"/>
      <c r="M217" s="774"/>
      <c r="N217" s="752"/>
      <c r="O217" s="752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706"/>
      <c r="C219" s="56"/>
      <c r="D219" s="56"/>
      <c r="E219" s="56"/>
      <c r="F219" s="892"/>
      <c r="G219" s="893"/>
      <c r="H219" s="894"/>
      <c r="I219" s="895"/>
      <c r="J219" s="896"/>
      <c r="K219" s="980"/>
      <c r="L219" s="3"/>
      <c r="M219" s="751"/>
    </row>
    <row r="220" spans="1:18" s="6" customFormat="1" ht="25" customHeight="1">
      <c r="A220" s="3"/>
      <c r="B220" s="706"/>
      <c r="C220" s="56"/>
      <c r="D220" s="56"/>
      <c r="E220" s="56"/>
      <c r="F220" s="892"/>
      <c r="G220" s="893"/>
      <c r="H220" s="894"/>
      <c r="I220" s="895"/>
      <c r="J220" s="896"/>
      <c r="K220" s="980"/>
      <c r="L220" s="3"/>
      <c r="M220" s="751"/>
    </row>
    <row r="221" spans="1:18" s="6" customFormat="1" ht="25" customHeight="1">
      <c r="A221" s="3"/>
      <c r="B221" s="1070" t="s">
        <v>314</v>
      </c>
      <c r="C221" s="1070"/>
      <c r="D221" s="1070"/>
      <c r="E221" s="1070"/>
      <c r="F221" s="1070"/>
      <c r="G221" s="1070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70"/>
      <c r="C222" s="1070"/>
      <c r="D222" s="1070"/>
      <c r="E222" s="1070"/>
      <c r="F222" s="1070"/>
      <c r="G222" s="1070"/>
      <c r="H222" s="739"/>
      <c r="I222" s="897"/>
      <c r="J222" s="3"/>
      <c r="K222" s="947"/>
      <c r="L222" s="3"/>
      <c r="M222" s="751"/>
    </row>
    <row r="223" spans="1:18" s="6" customFormat="1" ht="25" customHeight="1">
      <c r="A223" s="3"/>
      <c r="B223" s="1070"/>
      <c r="C223" s="1070"/>
      <c r="D223" s="1070"/>
      <c r="E223" s="1070"/>
      <c r="F223" s="1070"/>
      <c r="G223" s="1070"/>
      <c r="H223" s="739"/>
      <c r="I223" s="897"/>
      <c r="J223" s="3"/>
      <c r="K223" s="947"/>
      <c r="L223" s="3"/>
      <c r="M223" s="751"/>
    </row>
    <row r="224" spans="1:18" s="6" customFormat="1" ht="25" customHeight="1">
      <c r="A224" s="3"/>
      <c r="B224" s="1071" t="s">
        <v>616</v>
      </c>
      <c r="C224" s="1071"/>
      <c r="D224" s="1071"/>
      <c r="E224" s="1071"/>
      <c r="F224" s="1071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699"/>
      <c r="C225" s="64"/>
      <c r="D225" s="64"/>
      <c r="E225" s="64"/>
      <c r="F225" s="64"/>
      <c r="G225" s="3"/>
      <c r="H225" s="739"/>
      <c r="I225" s="897"/>
      <c r="J225" s="3"/>
      <c r="K225" s="947"/>
      <c r="L225" s="898"/>
      <c r="M225" s="758"/>
    </row>
    <row r="226" spans="1:20" s="6" customFormat="1" ht="25" customHeight="1">
      <c r="A226" s="3"/>
      <c r="B226" s="453" t="s">
        <v>654</v>
      </c>
      <c r="C226" s="64"/>
      <c r="D226" s="64"/>
      <c r="E226" s="64"/>
      <c r="F226" s="64"/>
      <c r="G226" s="3"/>
      <c r="H226" s="739"/>
      <c r="I226" s="897"/>
      <c r="J226" s="3"/>
      <c r="K226" s="947"/>
      <c r="L226" s="898"/>
      <c r="M226" s="758"/>
    </row>
    <row r="227" spans="1:20" s="6" customFormat="1" ht="25" customHeight="1">
      <c r="A227" s="3"/>
      <c r="B227" s="449" t="s">
        <v>442</v>
      </c>
      <c r="C227" s="64"/>
      <c r="D227" s="64"/>
      <c r="E227" s="64"/>
      <c r="F227" s="64"/>
      <c r="G227" s="3"/>
      <c r="H227" s="739"/>
      <c r="I227" s="3"/>
      <c r="J227" s="740"/>
      <c r="K227" s="947"/>
      <c r="L227" s="898"/>
      <c r="M227" s="758"/>
    </row>
    <row r="228" spans="1:20" s="6" customFormat="1" ht="25" customHeight="1">
      <c r="A228" s="3"/>
      <c r="B228" s="71" t="s">
        <v>193</v>
      </c>
      <c r="C228" s="69"/>
      <c r="D228" s="69"/>
      <c r="E228" s="69"/>
      <c r="F228" s="69"/>
      <c r="G228" s="898"/>
      <c r="H228" s="899"/>
      <c r="I228" s="898"/>
      <c r="J228" s="900"/>
      <c r="K228" s="981"/>
      <c r="L228" s="898"/>
      <c r="M228" s="758"/>
    </row>
    <row r="229" spans="1:20" s="804" customFormat="1" ht="25" customHeight="1">
      <c r="A229" s="901"/>
      <c r="B229" s="1010"/>
      <c r="C229" s="142"/>
      <c r="D229" s="142"/>
      <c r="E229" s="142"/>
      <c r="F229" s="142"/>
      <c r="G229" s="898"/>
      <c r="H229" s="899"/>
      <c r="I229" s="898"/>
      <c r="J229" s="900"/>
      <c r="K229" s="981"/>
      <c r="L229" s="901"/>
      <c r="M229" s="859"/>
      <c r="N229" s="902"/>
      <c r="O229" s="822"/>
      <c r="P229" s="822"/>
      <c r="Q229" s="822"/>
      <c r="R229" s="822"/>
      <c r="S229" s="822"/>
      <c r="T229" s="822"/>
    </row>
    <row r="230" spans="1:20" ht="25" customHeight="1">
      <c r="A230" s="903"/>
      <c r="B230" s="707" t="s">
        <v>536</v>
      </c>
      <c r="C230" s="58"/>
      <c r="D230" s="59"/>
      <c r="E230" s="58"/>
      <c r="F230" s="732"/>
      <c r="G230" s="732"/>
      <c r="H230" s="732"/>
      <c r="I230" s="58"/>
      <c r="J230" s="732" t="s">
        <v>314</v>
      </c>
      <c r="K230" s="982"/>
      <c r="L230" s="904"/>
      <c r="M230" s="768"/>
      <c r="N230" s="1022"/>
      <c r="O230" s="10"/>
    </row>
    <row r="231" spans="1:20" ht="25" customHeight="1">
      <c r="A231" s="903"/>
      <c r="B231" s="941" t="s">
        <v>4</v>
      </c>
      <c r="C231" s="728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3"/>
      <c r="E231" s="728"/>
      <c r="F231" s="728"/>
      <c r="G231" s="729"/>
      <c r="H231" s="905"/>
      <c r="I231" s="906"/>
      <c r="J231" s="733">
        <f>K64+K73+K55+K38+K82</f>
        <v>0</v>
      </c>
      <c r="K231" s="944"/>
      <c r="L231" s="903"/>
      <c r="M231" s="768"/>
      <c r="N231" s="1022"/>
      <c r="O231" s="10"/>
    </row>
    <row r="232" spans="1:20" ht="25" customHeight="1">
      <c r="A232" s="903"/>
      <c r="B232" s="534" t="s">
        <v>72</v>
      </c>
      <c r="C232" s="672" t="str">
        <f>K94&amp;" TB - S3"&amp;"     /     "&amp;K93&amp;" TB - Archive"</f>
        <v>0 TB - S3     /     0 TB - Archive</v>
      </c>
      <c r="D232" s="730"/>
      <c r="E232" s="730"/>
      <c r="F232" s="907"/>
      <c r="G232" s="908"/>
      <c r="H232" s="908"/>
      <c r="I232" s="909"/>
      <c r="J232" s="734">
        <f>K95</f>
        <v>0</v>
      </c>
      <c r="K232" s="944"/>
      <c r="L232" s="903"/>
      <c r="M232" s="768"/>
      <c r="N232" s="1022"/>
      <c r="O232" s="10"/>
    </row>
    <row r="233" spans="1:20" ht="25" customHeight="1">
      <c r="A233" s="903"/>
      <c r="B233" s="534" t="s">
        <v>86</v>
      </c>
      <c r="C233" s="143"/>
      <c r="D233" s="74"/>
      <c r="E233" s="75"/>
      <c r="F233" s="907"/>
      <c r="G233" s="908"/>
      <c r="H233" s="908"/>
      <c r="I233" s="909"/>
      <c r="J233" s="734">
        <f>K119</f>
        <v>0</v>
      </c>
      <c r="K233" s="944"/>
      <c r="L233" s="903"/>
      <c r="M233" s="768"/>
      <c r="N233" s="1022"/>
      <c r="O233" s="10"/>
    </row>
    <row r="234" spans="1:20" s="913" customFormat="1" ht="25" customHeight="1">
      <c r="A234" s="910"/>
      <c r="B234" s="506" t="s">
        <v>443</v>
      </c>
      <c r="C234" s="723" t="str">
        <f>IF(J131=1,"Fullt administrert tjeneste - support hverdager 08:00-17:00",IF(J131=3,"Fullt administrert tjeneste - support døgnet rundt, hver dag",""))</f>
        <v/>
      </c>
      <c r="D234" s="35"/>
      <c r="E234" s="36"/>
      <c r="F234" s="37"/>
      <c r="G234" s="911"/>
      <c r="H234" s="911"/>
      <c r="I234" s="853"/>
      <c r="J234" s="471">
        <f>K133</f>
        <v>0</v>
      </c>
      <c r="K234" s="944"/>
      <c r="L234" s="910"/>
      <c r="M234" s="912"/>
    </row>
    <row r="235" spans="1:20" s="919" customFormat="1" ht="25" customHeight="1">
      <c r="A235" s="914"/>
      <c r="B235" s="731" t="s">
        <v>222</v>
      </c>
      <c r="C235" s="726"/>
      <c r="D235" s="727"/>
      <c r="E235" s="727"/>
      <c r="F235" s="915"/>
      <c r="G235" s="916"/>
      <c r="H235" s="916"/>
      <c r="I235" s="917"/>
      <c r="J235" s="735">
        <f>SUM(J231:J234)</f>
        <v>0</v>
      </c>
      <c r="K235" s="983"/>
      <c r="L235" s="914"/>
      <c r="M235" s="918"/>
    </row>
    <row r="236" spans="1:20" ht="25" customHeight="1">
      <c r="A236" s="903"/>
      <c r="B236" s="452"/>
      <c r="C236" s="61"/>
      <c r="D236" s="61"/>
      <c r="E236" s="61"/>
      <c r="F236" s="920"/>
      <c r="G236" s="921"/>
      <c r="H236" s="921"/>
      <c r="I236" s="922"/>
      <c r="J236" s="922"/>
      <c r="K236" s="984"/>
      <c r="L236" s="903"/>
      <c r="M236" s="768"/>
      <c r="O236" s="10"/>
    </row>
    <row r="237" spans="1:20" ht="25" customHeight="1">
      <c r="A237" s="903"/>
      <c r="B237" s="708"/>
      <c r="C237" s="32"/>
      <c r="D237" s="38"/>
      <c r="E237" s="39"/>
      <c r="F237" s="42"/>
      <c r="G237" s="589"/>
      <c r="H237" s="32"/>
      <c r="I237" s="877"/>
      <c r="J237" s="828"/>
      <c r="K237" s="944"/>
      <c r="L237" s="903"/>
      <c r="M237" s="768"/>
      <c r="O237" s="10"/>
    </row>
    <row r="238" spans="1:20" ht="25" customHeight="1">
      <c r="A238" s="923"/>
      <c r="B238" s="709"/>
      <c r="C238" s="44"/>
      <c r="D238" s="35"/>
      <c r="E238" s="36"/>
      <c r="F238" s="924"/>
      <c r="G238" s="911"/>
      <c r="H238" s="44"/>
      <c r="I238" s="925"/>
      <c r="J238" s="471"/>
      <c r="K238" s="650"/>
      <c r="L238" s="926"/>
      <c r="M238" s="768"/>
      <c r="O238" s="10"/>
    </row>
    <row r="239" spans="1:20" s="116" customFormat="1" ht="25" customHeight="1">
      <c r="B239" s="710"/>
      <c r="C239" s="112"/>
      <c r="D239" s="113"/>
      <c r="E239" s="114"/>
      <c r="F239" s="927"/>
      <c r="G239" s="928"/>
      <c r="H239" s="112"/>
      <c r="I239" s="929"/>
      <c r="J239" s="930"/>
      <c r="K239" s="985"/>
      <c r="L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116" customFormat="1" ht="25" customHeight="1"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</row>
    <row r="248" spans="1:23" s="116" customFormat="1" ht="25" customHeight="1"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</row>
    <row r="249" spans="1:23" s="934" customFormat="1" ht="25" customHeight="1">
      <c r="A249" s="116"/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  <c r="P249" s="116"/>
      <c r="Q249" s="116"/>
      <c r="R249" s="116"/>
      <c r="S249" s="116"/>
      <c r="T249" s="116"/>
      <c r="U249" s="116"/>
      <c r="V249" s="116"/>
      <c r="W249" s="116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0"/>
      <c r="C267" s="112"/>
      <c r="D267" s="112"/>
      <c r="E267" s="112"/>
      <c r="F267" s="931"/>
      <c r="G267" s="932"/>
      <c r="H267" s="933"/>
      <c r="I267" s="933"/>
      <c r="J267" s="933"/>
      <c r="K267" s="986"/>
      <c r="L267" s="930"/>
      <c r="M267" s="930"/>
      <c r="N267" s="930"/>
      <c r="O267" s="117"/>
    </row>
    <row r="268" spans="2:15" s="116" customFormat="1" ht="25" customHeight="1">
      <c r="B268" s="710"/>
      <c r="C268" s="112"/>
      <c r="D268" s="112"/>
      <c r="E268" s="112"/>
      <c r="F268" s="931"/>
      <c r="G268" s="932"/>
      <c r="H268" s="933"/>
      <c r="I268" s="933"/>
      <c r="J268" s="933"/>
      <c r="K268" s="986"/>
      <c r="L268" s="930"/>
      <c r="M268" s="930"/>
      <c r="N268" s="930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1"/>
      <c r="K315" s="987"/>
      <c r="M315" s="935"/>
      <c r="O315" s="117"/>
    </row>
    <row r="316" spans="2:15" s="116" customFormat="1" ht="25" customHeight="1">
      <c r="B316" s="711"/>
      <c r="K316" s="987"/>
      <c r="M316" s="935"/>
      <c r="O316" s="117"/>
    </row>
    <row r="317" spans="2:15" s="116" customFormat="1" ht="25" customHeight="1">
      <c r="B317" s="712"/>
      <c r="C317" s="117"/>
      <c r="D317" s="117"/>
      <c r="E317" s="117"/>
      <c r="F317" s="117"/>
      <c r="G317" s="117"/>
      <c r="H317" s="117"/>
      <c r="I317" s="117"/>
      <c r="J317" s="117"/>
      <c r="K317" s="986"/>
      <c r="L317" s="117"/>
      <c r="M317" s="936"/>
      <c r="O317" s="117"/>
    </row>
    <row r="318" spans="2:15" s="116" customFormat="1" ht="25" customHeight="1">
      <c r="B318" s="711"/>
      <c r="K318" s="987"/>
      <c r="M318" s="935"/>
      <c r="O318" s="117"/>
    </row>
    <row r="319" spans="2:15" s="116" customFormat="1" ht="25" customHeight="1">
      <c r="B319" s="711"/>
      <c r="K319" s="987"/>
      <c r="M319" s="935"/>
      <c r="O319" s="117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3"/>
      <c r="K329" s="953"/>
      <c r="M329" s="937"/>
      <c r="O329" s="938"/>
    </row>
    <row r="330" spans="2:15" s="1" customFormat="1" ht="25" customHeight="1">
      <c r="B330" s="713"/>
      <c r="K330" s="953"/>
      <c r="M330" s="937"/>
      <c r="O330" s="938"/>
    </row>
    <row r="331" spans="2:15" s="1" customFormat="1" ht="25" customHeight="1">
      <c r="B331" s="714"/>
      <c r="C331" s="40"/>
      <c r="D331" s="98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  <row r="621" spans="2:15" s="1" customFormat="1" ht="25" customHeight="1">
      <c r="B621" s="713"/>
      <c r="K621" s="953"/>
      <c r="M621" s="937"/>
      <c r="O621" s="938"/>
    </row>
    <row r="622" spans="2:15" s="1" customFormat="1" ht="25" customHeight="1">
      <c r="B622" s="713"/>
      <c r="K622" s="953"/>
      <c r="M622" s="937"/>
      <c r="O622" s="938"/>
    </row>
  </sheetData>
  <sheetProtection algorithmName="SHA-512" hashValue="9ndA1yMhLW6MpBpdaoReIODJLaAKOFt9TY6SKy+9/lb3OJo7EwT1qlbh9nRejhCfPsekNyrtwNIUQyIzihHT1Q==" saltValue="/khttXIkHr2R5t1Bohknkw==" spinCount="100000" sheet="1" objects="1" scenarios="1" selectLockedCells="1"/>
  <mergeCells count="47"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  <mergeCell ref="D101:E101"/>
    <mergeCell ref="F101:G101"/>
    <mergeCell ref="H101:I101"/>
    <mergeCell ref="D102:E102"/>
    <mergeCell ref="F102:G102"/>
    <mergeCell ref="H102:I102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B186:F186"/>
    <mergeCell ref="B187:F187"/>
    <mergeCell ref="B221:G223"/>
    <mergeCell ref="B224:F224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3:G185"/>
    <mergeCell ref="C131:D131"/>
    <mergeCell ref="E131:F131"/>
    <mergeCell ref="G131:H131"/>
  </mergeCells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tooltip="Skicka ett mail till Safespring.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612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56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4"/>
      <c r="O3" s="167"/>
    </row>
    <row r="4" spans="1:28" s="168" customFormat="1" ht="25.5" customHeight="1">
      <c r="A4" s="164"/>
      <c r="B4" s="1148"/>
      <c r="C4" s="1148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4"/>
      <c r="O4" s="167"/>
    </row>
    <row r="5" spans="1:28" s="168" customFormat="1" ht="25.5" customHeight="1">
      <c r="A5" s="164"/>
      <c r="B5" s="67" t="s">
        <v>440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4"/>
      <c r="O5" s="167"/>
    </row>
    <row r="6" spans="1:28" s="168" customFormat="1" ht="25.5" customHeight="1">
      <c r="A6" s="164"/>
      <c r="B6" s="429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4"/>
      <c r="O6" s="167"/>
    </row>
    <row r="7" spans="1:28" s="168" customFormat="1" ht="25.5" customHeight="1">
      <c r="A7" s="164"/>
      <c r="B7" s="430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4"/>
      <c r="O7" s="167"/>
    </row>
    <row r="8" spans="1:28" s="168" customFormat="1" ht="25.5" customHeight="1">
      <c r="A8" s="164"/>
      <c r="B8" s="70" t="s">
        <v>264</v>
      </c>
      <c r="C8" s="63"/>
      <c r="D8" s="70" t="s">
        <v>201</v>
      </c>
      <c r="E8" s="2"/>
      <c r="F8" s="164"/>
      <c r="G8" s="164"/>
      <c r="H8" s="164"/>
      <c r="I8" s="164"/>
      <c r="J8" s="164"/>
      <c r="K8" s="165"/>
      <c r="L8" s="164"/>
      <c r="M8" s="166"/>
      <c r="N8" s="164"/>
      <c r="O8" s="167"/>
    </row>
    <row r="9" spans="1:28" s="168" customFormat="1" ht="25.5" customHeight="1">
      <c r="A9" s="164"/>
      <c r="B9" s="79" t="s">
        <v>441</v>
      </c>
      <c r="C9" s="63"/>
      <c r="D9" s="655"/>
      <c r="E9" s="164"/>
      <c r="F9" s="164"/>
      <c r="G9" s="164"/>
      <c r="H9" s="164"/>
      <c r="I9" s="164"/>
      <c r="J9" s="164"/>
      <c r="K9" s="165"/>
      <c r="L9" s="164"/>
      <c r="M9" s="166"/>
      <c r="N9" s="164"/>
      <c r="O9" s="167"/>
    </row>
    <row r="10" spans="1:28" s="168" customFormat="1" ht="25.5" customHeight="1">
      <c r="A10" s="164"/>
      <c r="B10" s="431" t="s">
        <v>193</v>
      </c>
      <c r="C10" s="433"/>
      <c r="D10" s="164"/>
      <c r="E10" s="164"/>
      <c r="F10" s="164"/>
      <c r="G10" s="164"/>
      <c r="H10" s="164"/>
      <c r="I10" s="164"/>
      <c r="J10" s="164"/>
      <c r="K10" s="165"/>
      <c r="L10" s="164"/>
      <c r="M10" s="166"/>
      <c r="N10" s="164"/>
      <c r="O10" s="167"/>
    </row>
    <row r="11" spans="1:28" s="176" customFormat="1" ht="25.5" customHeight="1">
      <c r="A11" s="169"/>
      <c r="B11" s="64"/>
      <c r="C11" s="64"/>
      <c r="D11" s="1150" t="str">
        <f>"1 SEK = "&amp;NOK&amp;" NOK"</f>
        <v>1 SEK = 1 NOK</v>
      </c>
      <c r="E11" s="1150"/>
      <c r="F11" s="1150"/>
      <c r="G11" s="171"/>
      <c r="H11" s="171"/>
      <c r="I11" s="172"/>
      <c r="J11" s="169"/>
      <c r="K11" s="173"/>
      <c r="L11" s="169"/>
      <c r="M11" s="174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8"/>
      <c r="G12" s="178"/>
      <c r="H12" s="178"/>
      <c r="I12" s="179"/>
      <c r="J12" s="177"/>
      <c r="K12" s="180"/>
      <c r="L12" s="177"/>
      <c r="M12" s="181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O14" s="175"/>
    </row>
    <row r="15" spans="1:28" s="187" customFormat="1" ht="25.5" customHeight="1">
      <c r="B15" s="1140" t="s">
        <v>4</v>
      </c>
      <c r="C15" s="1140"/>
      <c r="D15" s="1140"/>
      <c r="E15" s="1140"/>
      <c r="F15" s="1140"/>
      <c r="G15" s="1140"/>
      <c r="H15" s="188"/>
      <c r="J15" s="189"/>
      <c r="K15" s="189"/>
      <c r="M15" s="190"/>
      <c r="O15" s="191"/>
      <c r="U15" s="192"/>
      <c r="Z15" s="192"/>
      <c r="AA15" s="192"/>
      <c r="AB15" s="192"/>
    </row>
    <row r="16" spans="1:28" s="187" customFormat="1" ht="25.5" customHeight="1">
      <c r="B16" s="1140"/>
      <c r="C16" s="1140"/>
      <c r="D16" s="1140"/>
      <c r="E16" s="1140"/>
      <c r="F16" s="1140"/>
      <c r="G16" s="1140"/>
      <c r="H16" s="188"/>
      <c r="J16" s="189"/>
      <c r="K16" s="189"/>
      <c r="M16" s="190"/>
      <c r="O16" s="191"/>
      <c r="U16" s="192"/>
      <c r="Z16" s="192"/>
      <c r="AA16" s="192"/>
      <c r="AB16" s="192"/>
    </row>
    <row r="17" spans="2:28" s="187" customFormat="1" ht="25.5" customHeight="1">
      <c r="B17" s="1140"/>
      <c r="C17" s="1140"/>
      <c r="D17" s="1140"/>
      <c r="E17" s="1140"/>
      <c r="F17" s="1140"/>
      <c r="G17" s="1140"/>
      <c r="H17" s="188"/>
      <c r="J17" s="189"/>
      <c r="K17" s="189"/>
      <c r="M17" s="190"/>
      <c r="O17" s="191"/>
      <c r="U17" s="192"/>
      <c r="Z17" s="192"/>
      <c r="AA17" s="192"/>
      <c r="AB17" s="192"/>
    </row>
    <row r="18" spans="2:28" s="187" customFormat="1" ht="25.5" customHeight="1">
      <c r="B18" s="599" t="s">
        <v>266</v>
      </c>
      <c r="C18" s="599"/>
      <c r="D18" s="599"/>
      <c r="E18" s="599"/>
      <c r="F18" s="595"/>
      <c r="H18" s="188"/>
      <c r="J18" s="189"/>
      <c r="K18" s="189"/>
      <c r="M18" s="190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1147" t="s">
        <v>267</v>
      </c>
      <c r="C19" s="1147"/>
      <c r="D19" s="1147"/>
      <c r="E19" s="1147"/>
      <c r="F19" s="1147"/>
      <c r="G19" s="194"/>
      <c r="H19" s="195"/>
      <c r="I19" s="194"/>
      <c r="J19" s="196"/>
      <c r="K19" s="197"/>
      <c r="L19" s="194"/>
      <c r="M19" s="198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00" t="s">
        <v>401</v>
      </c>
      <c r="C20" s="601"/>
      <c r="D20" s="601"/>
      <c r="E20" s="601"/>
      <c r="F20" s="594"/>
      <c r="G20" s="194"/>
      <c r="H20" s="195"/>
      <c r="I20" s="194"/>
      <c r="J20" s="196"/>
      <c r="K20" s="197"/>
      <c r="L20" s="194"/>
      <c r="M20" s="198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76"/>
      <c r="G21" s="194"/>
      <c r="H21" s="195"/>
      <c r="I21" s="194"/>
      <c r="J21" s="196"/>
      <c r="K21" s="197"/>
      <c r="L21" s="194"/>
      <c r="M21" s="198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76"/>
      <c r="G22" s="194"/>
      <c r="H22" s="195"/>
      <c r="I22" s="194"/>
      <c r="J22" s="196"/>
      <c r="K22" s="194"/>
      <c r="L22" s="198"/>
      <c r="M22" s="198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77" t="s">
        <v>268</v>
      </c>
      <c r="C23" s="11"/>
      <c r="D23" s="11"/>
      <c r="I23" s="168"/>
      <c r="K23" s="204"/>
      <c r="L23" s="202"/>
      <c r="N23" s="520"/>
      <c r="O23" s="205"/>
    </row>
    <row r="24" spans="2:28" s="210" customFormat="1" ht="52">
      <c r="B24" s="478" t="s">
        <v>208</v>
      </c>
      <c r="C24" s="13" t="s">
        <v>10</v>
      </c>
      <c r="D24" s="13" t="s">
        <v>11</v>
      </c>
      <c r="E24" s="14" t="s">
        <v>209</v>
      </c>
      <c r="F24" s="206"/>
      <c r="G24" s="207" t="s">
        <v>269</v>
      </c>
      <c r="H24" s="207" t="s">
        <v>270</v>
      </c>
      <c r="I24" s="208" t="s">
        <v>271</v>
      </c>
      <c r="J24" s="209"/>
      <c r="K24" s="207" t="s">
        <v>215</v>
      </c>
      <c r="O24" s="211"/>
      <c r="Q24" s="212"/>
      <c r="R24" s="213"/>
      <c r="S24" s="213"/>
      <c r="T24" s="213"/>
      <c r="U24" s="212"/>
    </row>
    <row r="25" spans="2:28" s="192" customFormat="1" ht="25.5" customHeight="1">
      <c r="B25" s="479" t="s">
        <v>19</v>
      </c>
      <c r="C25" s="16">
        <v>1</v>
      </c>
      <c r="D25" s="16">
        <v>1</v>
      </c>
      <c r="E25" s="121">
        <v>40</v>
      </c>
      <c r="F25" s="214"/>
      <c r="G25" s="215">
        <f t="shared" ref="G25:G35" si="0">H25/720</f>
        <v>0.38750000000000001</v>
      </c>
      <c r="H25" s="216">
        <f>C25*IAAS_vcpu_SEK+D25*IAAS_ram_SEK+E25*IAAS_ssd_SEK</f>
        <v>279</v>
      </c>
      <c r="I25" s="217"/>
      <c r="J25" s="214" t="s">
        <v>60</v>
      </c>
      <c r="K25" s="218">
        <f t="shared" ref="K25:K37" si="1">ROUNDUP(I25*H25,2)</f>
        <v>0</v>
      </c>
      <c r="N25" s="519"/>
      <c r="O25" s="219"/>
      <c r="P25" s="522"/>
      <c r="R25" s="521"/>
    </row>
    <row r="26" spans="2:28" s="192" customFormat="1" ht="25.5" customHeight="1">
      <c r="B26" s="480" t="s">
        <v>20</v>
      </c>
      <c r="C26" s="18">
        <v>1</v>
      </c>
      <c r="D26" s="18">
        <v>2</v>
      </c>
      <c r="E26" s="468">
        <v>40</v>
      </c>
      <c r="F26" s="220"/>
      <c r="G26" s="221">
        <f t="shared" si="0"/>
        <v>0.46388888888888891</v>
      </c>
      <c r="H26" s="222">
        <f t="shared" ref="H26:H35" si="2">C26*IAAS_vcpu_SEK+D26*IAAS_ram_SEK+E26*IAAS_ssd_SEK</f>
        <v>334</v>
      </c>
      <c r="I26" s="217"/>
      <c r="J26" s="220" t="s">
        <v>60</v>
      </c>
      <c r="K26" s="223">
        <f t="shared" si="1"/>
        <v>0</v>
      </c>
      <c r="N26" s="519"/>
      <c r="O26" s="219"/>
      <c r="P26" s="522"/>
      <c r="Q26" s="521"/>
    </row>
    <row r="27" spans="2:28" s="192" customFormat="1" ht="25.5" customHeight="1">
      <c r="B27" s="479" t="s">
        <v>21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2"/>
        <v>524</v>
      </c>
      <c r="I27" s="217"/>
      <c r="J27" s="214" t="s">
        <v>60</v>
      </c>
      <c r="K27" s="218">
        <f t="shared" si="1"/>
        <v>0</v>
      </c>
      <c r="L27" s="224"/>
      <c r="N27" s="519"/>
      <c r="O27" s="219"/>
      <c r="P27" s="522"/>
      <c r="Q27" s="521"/>
    </row>
    <row r="28" spans="2:28" s="192" customFormat="1" ht="25.5" customHeight="1">
      <c r="B28" s="480" t="s">
        <v>22</v>
      </c>
      <c r="C28" s="18">
        <v>4</v>
      </c>
      <c r="D28" s="18">
        <v>8</v>
      </c>
      <c r="E28" s="468">
        <v>40</v>
      </c>
      <c r="F28" s="220"/>
      <c r="G28" s="221">
        <f t="shared" si="0"/>
        <v>1.2555555555555555</v>
      </c>
      <c r="H28" s="222">
        <f t="shared" si="2"/>
        <v>904</v>
      </c>
      <c r="I28" s="217"/>
      <c r="J28" s="220" t="s">
        <v>60</v>
      </c>
      <c r="K28" s="223">
        <f t="shared" si="1"/>
        <v>0</v>
      </c>
      <c r="N28" s="519"/>
      <c r="O28" s="219"/>
      <c r="P28" s="522"/>
      <c r="Q28" s="521"/>
    </row>
    <row r="29" spans="2:28" s="192" customFormat="1" ht="25.5" customHeight="1">
      <c r="B29" s="479" t="s">
        <v>23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2"/>
        <v>1664</v>
      </c>
      <c r="I29" s="217"/>
      <c r="J29" s="214" t="s">
        <v>60</v>
      </c>
      <c r="K29" s="218">
        <f t="shared" si="1"/>
        <v>0</v>
      </c>
      <c r="N29" s="519"/>
      <c r="O29" s="219"/>
      <c r="P29" s="522"/>
    </row>
    <row r="30" spans="2:28" s="192" customFormat="1" ht="25.5" customHeight="1">
      <c r="B30" s="480" t="s">
        <v>24</v>
      </c>
      <c r="C30" s="18">
        <v>16</v>
      </c>
      <c r="D30" s="18">
        <v>32</v>
      </c>
      <c r="E30" s="468">
        <v>40</v>
      </c>
      <c r="F30" s="220"/>
      <c r="G30" s="221">
        <f t="shared" si="0"/>
        <v>4.4222222222222225</v>
      </c>
      <c r="H30" s="222">
        <f t="shared" si="2"/>
        <v>3184</v>
      </c>
      <c r="I30" s="217"/>
      <c r="J30" s="220" t="s">
        <v>60</v>
      </c>
      <c r="K30" s="223">
        <f t="shared" si="1"/>
        <v>0</v>
      </c>
      <c r="N30" s="519"/>
      <c r="O30" s="219"/>
      <c r="P30" s="522"/>
    </row>
    <row r="31" spans="2:28" s="192" customFormat="1" ht="25.5" customHeight="1">
      <c r="B31" s="479" t="s">
        <v>25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2"/>
        <v>444</v>
      </c>
      <c r="I31" s="217"/>
      <c r="J31" s="214" t="s">
        <v>60</v>
      </c>
      <c r="K31" s="218">
        <f t="shared" si="1"/>
        <v>0</v>
      </c>
      <c r="N31" s="519"/>
      <c r="O31" s="219"/>
    </row>
    <row r="32" spans="2:28" s="192" customFormat="1" ht="25.5" customHeight="1">
      <c r="B32" s="480" t="s">
        <v>26</v>
      </c>
      <c r="C32" s="18">
        <v>2</v>
      </c>
      <c r="D32" s="18">
        <v>8</v>
      </c>
      <c r="E32" s="468">
        <v>40</v>
      </c>
      <c r="F32" s="220"/>
      <c r="G32" s="221">
        <f t="shared" si="0"/>
        <v>1.0333333333333334</v>
      </c>
      <c r="H32" s="222">
        <f t="shared" si="2"/>
        <v>744</v>
      </c>
      <c r="I32" s="217"/>
      <c r="J32" s="220" t="s">
        <v>60</v>
      </c>
      <c r="K32" s="223">
        <f t="shared" si="1"/>
        <v>0</v>
      </c>
      <c r="N32" s="519"/>
      <c r="O32" s="219"/>
    </row>
    <row r="33" spans="2:20" s="192" customFormat="1" ht="25.5" customHeight="1">
      <c r="B33" s="479" t="s">
        <v>27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2"/>
        <v>1344</v>
      </c>
      <c r="I33" s="217"/>
      <c r="J33" s="214" t="s">
        <v>60</v>
      </c>
      <c r="K33" s="218">
        <f t="shared" si="1"/>
        <v>0</v>
      </c>
      <c r="N33" s="519"/>
      <c r="O33" s="219"/>
    </row>
    <row r="34" spans="2:20" s="192" customFormat="1" ht="25.5" customHeight="1">
      <c r="B34" s="480" t="s">
        <v>28</v>
      </c>
      <c r="C34" s="18">
        <v>8</v>
      </c>
      <c r="D34" s="18">
        <v>32</v>
      </c>
      <c r="E34" s="468">
        <v>40</v>
      </c>
      <c r="F34" s="220"/>
      <c r="G34" s="221">
        <f t="shared" si="0"/>
        <v>3.5333333333333332</v>
      </c>
      <c r="H34" s="222">
        <f t="shared" si="2"/>
        <v>2544</v>
      </c>
      <c r="I34" s="217"/>
      <c r="J34" s="220" t="s">
        <v>60</v>
      </c>
      <c r="K34" s="223">
        <f t="shared" si="1"/>
        <v>0</v>
      </c>
      <c r="N34" s="519"/>
      <c r="O34" s="219"/>
      <c r="R34" s="200"/>
      <c r="S34" s="200"/>
      <c r="T34" s="200"/>
    </row>
    <row r="35" spans="2:20" s="192" customFormat="1" ht="25.5" customHeight="1">
      <c r="B35" s="479" t="s">
        <v>29</v>
      </c>
      <c r="C35" s="16">
        <v>16</v>
      </c>
      <c r="D35" s="16">
        <v>64</v>
      </c>
      <c r="E35" s="121">
        <v>40</v>
      </c>
      <c r="F35" s="214"/>
      <c r="G35" s="215">
        <f t="shared" si="0"/>
        <v>6.8666666666666663</v>
      </c>
      <c r="H35" s="216">
        <f t="shared" si="2"/>
        <v>4944</v>
      </c>
      <c r="I35" s="217"/>
      <c r="J35" s="214" t="s">
        <v>60</v>
      </c>
      <c r="K35" s="218">
        <f t="shared" si="1"/>
        <v>0</v>
      </c>
      <c r="O35" s="219"/>
      <c r="R35" s="200"/>
      <c r="S35" s="200"/>
      <c r="T35" s="200"/>
    </row>
    <row r="36" spans="2:20" s="192" customFormat="1" ht="25.5" customHeight="1">
      <c r="B36" s="480" t="s">
        <v>398</v>
      </c>
      <c r="C36" s="18">
        <v>32</v>
      </c>
      <c r="D36" s="18">
        <v>128</v>
      </c>
      <c r="E36" s="468">
        <v>40</v>
      </c>
      <c r="F36" s="220"/>
      <c r="G36" s="221">
        <f t="shared" ref="G36:G37" si="3">H36/720</f>
        <v>13.533333333333333</v>
      </c>
      <c r="H36" s="222">
        <f t="shared" ref="H36:H37" si="4">C36*IAAS_vcpu_SEK+D36*IAAS_ram_SEK+E36*IAAS_ssd_SEK</f>
        <v>9744</v>
      </c>
      <c r="I36" s="217"/>
      <c r="J36" s="220" t="s">
        <v>60</v>
      </c>
      <c r="K36" s="223">
        <f t="shared" si="1"/>
        <v>0</v>
      </c>
      <c r="N36" s="519"/>
      <c r="O36" s="219"/>
      <c r="R36" s="200"/>
      <c r="S36" s="200"/>
      <c r="T36" s="200"/>
    </row>
    <row r="37" spans="2:20" s="192" customFormat="1" ht="25.5" customHeight="1">
      <c r="B37" s="479" t="s">
        <v>399</v>
      </c>
      <c r="C37" s="16">
        <v>64</v>
      </c>
      <c r="D37" s="16">
        <v>256</v>
      </c>
      <c r="E37" s="121">
        <v>40</v>
      </c>
      <c r="F37" s="214"/>
      <c r="G37" s="215">
        <f t="shared" si="3"/>
        <v>26.866666666666667</v>
      </c>
      <c r="H37" s="216">
        <f t="shared" si="4"/>
        <v>19344</v>
      </c>
      <c r="I37" s="217"/>
      <c r="J37" s="214" t="s">
        <v>60</v>
      </c>
      <c r="K37" s="218">
        <f t="shared" si="1"/>
        <v>0</v>
      </c>
      <c r="O37" s="219"/>
      <c r="R37" s="200"/>
      <c r="S37" s="200"/>
      <c r="T37" s="200"/>
    </row>
    <row r="38" spans="2:20" ht="25.5" customHeight="1">
      <c r="B38" s="481" t="s">
        <v>85</v>
      </c>
      <c r="C38" s="596" cm="1">
        <f t="array" ref="C38">SUM(C25:C37*I25:I37)</f>
        <v>0</v>
      </c>
      <c r="D38" s="596" cm="1">
        <f t="array" ref="D38">SUM(D25:D37*I25:I37)</f>
        <v>0</v>
      </c>
      <c r="E38" s="596" cm="1">
        <f t="array" ref="E38">SUM(E25:E37*I25:I37)</f>
        <v>0</v>
      </c>
      <c r="F38" s="300"/>
      <c r="G38" s="300"/>
      <c r="H38" s="300"/>
      <c r="I38" s="300" t="str">
        <f>SUM(I25:I37)&amp;" st"</f>
        <v>0 st</v>
      </c>
      <c r="J38" s="163"/>
      <c r="K38" s="593">
        <f>SUM(K25:K35)</f>
        <v>0</v>
      </c>
      <c r="L38" s="202"/>
      <c r="O38" s="205"/>
      <c r="R38" s="200"/>
      <c r="S38" s="200"/>
      <c r="T38" s="228"/>
    </row>
    <row r="39" spans="2:20" ht="25.5" customHeight="1">
      <c r="B39" s="482"/>
      <c r="C39" s="21"/>
      <c r="D39" s="21"/>
      <c r="E39" s="21"/>
      <c r="F39" s="229"/>
      <c r="G39" s="230"/>
      <c r="H39" s="231"/>
      <c r="I39" s="50"/>
      <c r="J39" s="232"/>
      <c r="K39" s="50"/>
      <c r="L39" s="202"/>
      <c r="O39" s="205"/>
      <c r="R39" s="200"/>
      <c r="S39" s="200"/>
      <c r="T39" s="228"/>
    </row>
    <row r="40" spans="2:20" ht="25.5" customHeight="1">
      <c r="B40" s="482"/>
      <c r="C40" s="21"/>
      <c r="D40" s="21"/>
      <c r="E40" s="21"/>
      <c r="F40" s="229"/>
      <c r="G40" s="230"/>
      <c r="H40" s="231"/>
      <c r="I40" s="50"/>
      <c r="J40" s="232"/>
      <c r="K40" s="50"/>
      <c r="L40" s="202"/>
      <c r="O40" s="205"/>
      <c r="R40" s="200"/>
      <c r="S40" s="200"/>
      <c r="T40" s="228"/>
    </row>
    <row r="41" spans="2:20" s="237" customFormat="1" ht="31">
      <c r="B41" s="447" t="s">
        <v>217</v>
      </c>
      <c r="C41" s="111"/>
      <c r="D41" s="111"/>
      <c r="E41" s="111"/>
      <c r="F41" s="233"/>
      <c r="G41" s="233"/>
      <c r="H41" s="234"/>
      <c r="I41" s="235"/>
      <c r="J41" s="235"/>
      <c r="K41" s="236"/>
      <c r="O41" s="238"/>
      <c r="R41" s="239"/>
      <c r="S41" s="239"/>
      <c r="T41" s="240"/>
    </row>
    <row r="42" spans="2:20" s="241" customFormat="1" ht="52">
      <c r="B42" s="478" t="s">
        <v>208</v>
      </c>
      <c r="C42" s="13" t="s">
        <v>10</v>
      </c>
      <c r="D42" s="13" t="s">
        <v>11</v>
      </c>
      <c r="E42" s="14" t="s">
        <v>209</v>
      </c>
      <c r="F42" s="206"/>
      <c r="G42" s="207" t="s">
        <v>269</v>
      </c>
      <c r="H42" s="207" t="s">
        <v>270</v>
      </c>
      <c r="I42" s="208" t="s">
        <v>271</v>
      </c>
      <c r="J42" s="209"/>
      <c r="K42" s="207" t="s">
        <v>215</v>
      </c>
      <c r="N42" s="202"/>
      <c r="O42" s="205"/>
      <c r="P42" s="202"/>
      <c r="Q42" s="202"/>
      <c r="R42" s="200"/>
      <c r="S42" s="200"/>
      <c r="T42" s="228"/>
    </row>
    <row r="43" spans="2:20" s="192" customFormat="1" ht="25.5" customHeight="1">
      <c r="B43" s="484" t="s">
        <v>33</v>
      </c>
      <c r="C43" s="99">
        <v>1</v>
      </c>
      <c r="D43" s="99">
        <v>1</v>
      </c>
      <c r="E43" s="101">
        <v>10</v>
      </c>
      <c r="F43" s="246"/>
      <c r="G43" s="247">
        <f t="shared" ref="G43:G65" si="5">H43/720</f>
        <v>0.2013888888888889</v>
      </c>
      <c r="H43" s="248">
        <f t="shared" ref="H43:H65" si="6">C43*IAAS_vcpu_SEK+D43*IAAS_ram_SEK+E43*IAAS_nvme_SEK</f>
        <v>145</v>
      </c>
      <c r="I43" s="217"/>
      <c r="J43" s="249" t="s">
        <v>60</v>
      </c>
      <c r="K43" s="218">
        <f t="shared" ref="K43:K66" si="7">ROUNDUP(I43*H43,2)</f>
        <v>0</v>
      </c>
      <c r="O43" s="219"/>
      <c r="R43" s="200"/>
      <c r="T43" s="200"/>
    </row>
    <row r="44" spans="2:20" s="192" customFormat="1" ht="25.5" customHeight="1">
      <c r="B44" s="485" t="s">
        <v>403</v>
      </c>
      <c r="C44" s="100">
        <v>1</v>
      </c>
      <c r="D44" s="100">
        <v>2</v>
      </c>
      <c r="E44" s="120">
        <v>20</v>
      </c>
      <c r="F44" s="250"/>
      <c r="G44" s="243">
        <f t="shared" si="5"/>
        <v>0.29166666666666669</v>
      </c>
      <c r="H44" s="244">
        <f t="shared" si="6"/>
        <v>210</v>
      </c>
      <c r="I44" s="217"/>
      <c r="J44" s="251" t="s">
        <v>60</v>
      </c>
      <c r="K44" s="223">
        <f t="shared" si="7"/>
        <v>0</v>
      </c>
      <c r="O44" s="219"/>
      <c r="R44" s="200"/>
      <c r="T44" s="200"/>
    </row>
    <row r="45" spans="2:20" s="192" customFormat="1" ht="25.5" customHeight="1">
      <c r="B45" s="484" t="s">
        <v>405</v>
      </c>
      <c r="C45" s="99">
        <v>2</v>
      </c>
      <c r="D45" s="99">
        <v>4</v>
      </c>
      <c r="E45" s="101">
        <v>250</v>
      </c>
      <c r="F45" s="246"/>
      <c r="G45" s="247">
        <f t="shared" si="5"/>
        <v>0.875</v>
      </c>
      <c r="H45" s="248">
        <f t="shared" si="6"/>
        <v>630</v>
      </c>
      <c r="I45" s="217"/>
      <c r="J45" s="249" t="s">
        <v>60</v>
      </c>
      <c r="K45" s="218">
        <f t="shared" si="7"/>
        <v>0</v>
      </c>
      <c r="O45" s="219"/>
      <c r="R45" s="200"/>
      <c r="T45" s="200"/>
    </row>
    <row r="46" spans="2:20" s="192" customFormat="1" ht="25.5" customHeight="1">
      <c r="B46" s="485" t="s">
        <v>34</v>
      </c>
      <c r="C46" s="100">
        <v>4</v>
      </c>
      <c r="D46" s="100">
        <v>8</v>
      </c>
      <c r="E46" s="120">
        <v>250</v>
      </c>
      <c r="F46" s="250"/>
      <c r="G46" s="243">
        <f t="shared" si="5"/>
        <v>1.4027777777777777</v>
      </c>
      <c r="H46" s="244">
        <f t="shared" si="6"/>
        <v>1010</v>
      </c>
      <c r="I46" s="217"/>
      <c r="J46" s="251" t="s">
        <v>60</v>
      </c>
      <c r="K46" s="223">
        <f t="shared" si="7"/>
        <v>0</v>
      </c>
      <c r="O46" s="219"/>
      <c r="R46" s="200"/>
      <c r="T46" s="200"/>
    </row>
    <row r="47" spans="2:20" s="192" customFormat="1" ht="25.5" customHeight="1">
      <c r="B47" s="484" t="s">
        <v>35</v>
      </c>
      <c r="C47" s="99">
        <v>8</v>
      </c>
      <c r="D47" s="99">
        <v>16</v>
      </c>
      <c r="E47" s="101">
        <v>250</v>
      </c>
      <c r="F47" s="246"/>
      <c r="G47" s="247">
        <f t="shared" si="5"/>
        <v>2.4583333333333335</v>
      </c>
      <c r="H47" s="248">
        <f t="shared" si="6"/>
        <v>1770</v>
      </c>
      <c r="I47" s="217"/>
      <c r="J47" s="249" t="s">
        <v>60</v>
      </c>
      <c r="K47" s="218">
        <f t="shared" si="7"/>
        <v>0</v>
      </c>
      <c r="O47" s="219"/>
      <c r="R47" s="200"/>
      <c r="T47" s="200"/>
    </row>
    <row r="48" spans="2:20" s="192" customFormat="1" ht="25.5" customHeight="1">
      <c r="B48" s="485" t="s">
        <v>36</v>
      </c>
      <c r="C48" s="100">
        <v>16</v>
      </c>
      <c r="D48" s="100">
        <v>32</v>
      </c>
      <c r="E48" s="120">
        <v>250</v>
      </c>
      <c r="F48" s="250"/>
      <c r="G48" s="243">
        <f t="shared" si="5"/>
        <v>4.5694444444444446</v>
      </c>
      <c r="H48" s="244">
        <f t="shared" si="6"/>
        <v>3290</v>
      </c>
      <c r="I48" s="217"/>
      <c r="J48" s="251" t="s">
        <v>60</v>
      </c>
      <c r="K48" s="223">
        <f t="shared" si="7"/>
        <v>0</v>
      </c>
      <c r="O48" s="219"/>
      <c r="R48" s="200"/>
      <c r="T48" s="200"/>
    </row>
    <row r="49" spans="2:20" s="192" customFormat="1" ht="25.5" customHeight="1">
      <c r="B49" s="484" t="s">
        <v>37</v>
      </c>
      <c r="C49" s="99">
        <v>16</v>
      </c>
      <c r="D49" s="99">
        <v>32</v>
      </c>
      <c r="E49" s="101">
        <v>500</v>
      </c>
      <c r="F49" s="246"/>
      <c r="G49" s="247">
        <f t="shared" si="5"/>
        <v>4.916666666666667</v>
      </c>
      <c r="H49" s="248">
        <f t="shared" si="6"/>
        <v>3540</v>
      </c>
      <c r="I49" s="217"/>
      <c r="J49" s="249" t="s">
        <v>60</v>
      </c>
      <c r="K49" s="218">
        <f t="shared" si="7"/>
        <v>0</v>
      </c>
      <c r="O49" s="219"/>
      <c r="R49" s="200"/>
      <c r="T49" s="200"/>
    </row>
    <row r="50" spans="2:20" s="192" customFormat="1" ht="25.5" customHeight="1">
      <c r="B50" s="485" t="s">
        <v>38</v>
      </c>
      <c r="C50" s="100">
        <v>16</v>
      </c>
      <c r="D50" s="100">
        <v>32</v>
      </c>
      <c r="E50" s="120">
        <v>1000</v>
      </c>
      <c r="F50" s="250"/>
      <c r="G50" s="243">
        <f t="shared" si="5"/>
        <v>5.6111111111111107</v>
      </c>
      <c r="H50" s="244">
        <f t="shared" si="6"/>
        <v>4040</v>
      </c>
      <c r="I50" s="217"/>
      <c r="J50" s="251" t="s">
        <v>60</v>
      </c>
      <c r="K50" s="223">
        <f t="shared" si="7"/>
        <v>0</v>
      </c>
      <c r="O50" s="219"/>
      <c r="R50" s="200"/>
      <c r="T50" s="200"/>
    </row>
    <row r="51" spans="2:20" s="192" customFormat="1" ht="25.5" customHeight="1">
      <c r="B51" s="484" t="s">
        <v>39</v>
      </c>
      <c r="C51" s="99">
        <v>32</v>
      </c>
      <c r="D51" s="99">
        <v>64</v>
      </c>
      <c r="E51" s="101">
        <v>250</v>
      </c>
      <c r="F51" s="246"/>
      <c r="G51" s="247">
        <f t="shared" si="5"/>
        <v>8.7916666666666661</v>
      </c>
      <c r="H51" s="248">
        <f t="shared" si="6"/>
        <v>6330</v>
      </c>
      <c r="I51" s="217"/>
      <c r="J51" s="249" t="s">
        <v>60</v>
      </c>
      <c r="K51" s="218">
        <f t="shared" si="7"/>
        <v>0</v>
      </c>
      <c r="O51" s="219"/>
      <c r="R51" s="200"/>
      <c r="T51" s="200"/>
    </row>
    <row r="52" spans="2:20" s="192" customFormat="1" ht="25.5" customHeight="1">
      <c r="B52" s="485" t="s">
        <v>40</v>
      </c>
      <c r="C52" s="100">
        <v>32</v>
      </c>
      <c r="D52" s="100">
        <v>64</v>
      </c>
      <c r="E52" s="120">
        <v>500</v>
      </c>
      <c r="F52" s="250"/>
      <c r="G52" s="243">
        <f t="shared" si="5"/>
        <v>9.1388888888888893</v>
      </c>
      <c r="H52" s="244">
        <f t="shared" si="6"/>
        <v>6580</v>
      </c>
      <c r="I52" s="217"/>
      <c r="J52" s="251" t="s">
        <v>60</v>
      </c>
      <c r="K52" s="223">
        <f t="shared" si="7"/>
        <v>0</v>
      </c>
      <c r="O52" s="219"/>
      <c r="R52" s="200"/>
      <c r="T52" s="200"/>
    </row>
    <row r="53" spans="2:20" s="192" customFormat="1" ht="25.5" customHeight="1">
      <c r="B53" s="484" t="s">
        <v>41</v>
      </c>
      <c r="C53" s="99">
        <v>32</v>
      </c>
      <c r="D53" s="99">
        <v>64</v>
      </c>
      <c r="E53" s="101">
        <v>1000</v>
      </c>
      <c r="F53" s="246"/>
      <c r="G53" s="247">
        <f t="shared" si="5"/>
        <v>9.8333333333333339</v>
      </c>
      <c r="H53" s="248">
        <f t="shared" si="6"/>
        <v>7080</v>
      </c>
      <c r="I53" s="217"/>
      <c r="J53" s="249" t="s">
        <v>60</v>
      </c>
      <c r="K53" s="218">
        <f t="shared" si="7"/>
        <v>0</v>
      </c>
      <c r="O53" s="219"/>
      <c r="R53" s="200"/>
      <c r="T53" s="200"/>
    </row>
    <row r="54" spans="2:20" s="192" customFormat="1" ht="25.5" customHeight="1">
      <c r="B54" s="485" t="s">
        <v>404</v>
      </c>
      <c r="C54" s="100">
        <v>1</v>
      </c>
      <c r="D54" s="100">
        <v>4</v>
      </c>
      <c r="E54" s="120">
        <v>20</v>
      </c>
      <c r="F54" s="250"/>
      <c r="G54" s="243">
        <f t="shared" si="5"/>
        <v>0.44444444444444442</v>
      </c>
      <c r="H54" s="244">
        <f t="shared" si="6"/>
        <v>320</v>
      </c>
      <c r="I54" s="217"/>
      <c r="J54" s="251" t="s">
        <v>60</v>
      </c>
      <c r="K54" s="223">
        <f t="shared" si="7"/>
        <v>0</v>
      </c>
      <c r="O54" s="219"/>
      <c r="R54" s="200"/>
      <c r="T54" s="200"/>
    </row>
    <row r="55" spans="2:20" s="192" customFormat="1" ht="25.5" customHeight="1">
      <c r="B55" s="484" t="s">
        <v>406</v>
      </c>
      <c r="C55" s="99">
        <v>2</v>
      </c>
      <c r="D55" s="99">
        <v>8</v>
      </c>
      <c r="E55" s="101">
        <v>250</v>
      </c>
      <c r="F55" s="246"/>
      <c r="G55" s="247">
        <f t="shared" si="5"/>
        <v>1.1805555555555556</v>
      </c>
      <c r="H55" s="248">
        <f t="shared" si="6"/>
        <v>850</v>
      </c>
      <c r="I55" s="217"/>
      <c r="J55" s="249" t="s">
        <v>60</v>
      </c>
      <c r="K55" s="218">
        <f t="shared" si="7"/>
        <v>0</v>
      </c>
      <c r="O55" s="219"/>
      <c r="R55" s="200"/>
      <c r="T55" s="200"/>
    </row>
    <row r="56" spans="2:20" s="192" customFormat="1" ht="25.5" customHeight="1">
      <c r="B56" s="485" t="s">
        <v>42</v>
      </c>
      <c r="C56" s="100">
        <v>4</v>
      </c>
      <c r="D56" s="100">
        <v>16</v>
      </c>
      <c r="E56" s="120">
        <v>250</v>
      </c>
      <c r="F56" s="250"/>
      <c r="G56" s="243">
        <f t="shared" si="5"/>
        <v>2.0138888888888888</v>
      </c>
      <c r="H56" s="244">
        <f t="shared" si="6"/>
        <v>1450</v>
      </c>
      <c r="I56" s="217"/>
      <c r="J56" s="251" t="s">
        <v>60</v>
      </c>
      <c r="K56" s="223">
        <f t="shared" si="7"/>
        <v>0</v>
      </c>
      <c r="O56" s="219"/>
      <c r="R56" s="200"/>
      <c r="T56" s="200"/>
    </row>
    <row r="57" spans="2:20" s="192" customFormat="1" ht="25.5" customHeight="1">
      <c r="B57" s="484" t="s">
        <v>43</v>
      </c>
      <c r="C57" s="99">
        <v>8</v>
      </c>
      <c r="D57" s="99">
        <v>32</v>
      </c>
      <c r="E57" s="101">
        <v>250</v>
      </c>
      <c r="F57" s="246"/>
      <c r="G57" s="247">
        <f t="shared" si="5"/>
        <v>3.6805555555555554</v>
      </c>
      <c r="H57" s="248">
        <f t="shared" si="6"/>
        <v>2650</v>
      </c>
      <c r="I57" s="217"/>
      <c r="J57" s="249" t="s">
        <v>60</v>
      </c>
      <c r="K57" s="218">
        <f t="shared" si="7"/>
        <v>0</v>
      </c>
      <c r="O57" s="219"/>
      <c r="R57" s="200"/>
      <c r="T57" s="200"/>
    </row>
    <row r="58" spans="2:20" s="192" customFormat="1" ht="25.5" customHeight="1">
      <c r="B58" s="485" t="s">
        <v>44</v>
      </c>
      <c r="C58" s="100">
        <v>8</v>
      </c>
      <c r="D58" s="100">
        <v>32</v>
      </c>
      <c r="E58" s="120">
        <v>500</v>
      </c>
      <c r="F58" s="250"/>
      <c r="G58" s="243">
        <f t="shared" ref="G58:G61" si="8">H58/720</f>
        <v>4.0277777777777777</v>
      </c>
      <c r="H58" s="244">
        <f t="shared" ref="H58:H61" si="9">C58*IAAS_vcpu_SEK+D58*IAAS_ram_SEK+E58*IAAS_nvme_SEK</f>
        <v>2900</v>
      </c>
      <c r="I58" s="217"/>
      <c r="J58" s="251" t="s">
        <v>60</v>
      </c>
      <c r="K58" s="223">
        <f t="shared" si="7"/>
        <v>0</v>
      </c>
      <c r="O58" s="219"/>
      <c r="R58" s="200"/>
      <c r="T58" s="200"/>
    </row>
    <row r="59" spans="2:20" s="192" customFormat="1" ht="25.5" customHeight="1">
      <c r="B59" s="484" t="s">
        <v>45</v>
      </c>
      <c r="C59" s="99">
        <v>8</v>
      </c>
      <c r="D59" s="99">
        <v>32</v>
      </c>
      <c r="E59" s="101">
        <v>1000</v>
      </c>
      <c r="F59" s="246"/>
      <c r="G59" s="247">
        <f t="shared" si="8"/>
        <v>4.7222222222222223</v>
      </c>
      <c r="H59" s="248">
        <f t="shared" si="9"/>
        <v>3400</v>
      </c>
      <c r="I59" s="217"/>
      <c r="J59" s="249" t="s">
        <v>60</v>
      </c>
      <c r="K59" s="218">
        <f t="shared" si="7"/>
        <v>0</v>
      </c>
      <c r="O59" s="219"/>
      <c r="R59" s="200"/>
      <c r="T59" s="200"/>
    </row>
    <row r="60" spans="2:20" s="192" customFormat="1" ht="25.5" customHeight="1">
      <c r="B60" s="485" t="s">
        <v>46</v>
      </c>
      <c r="C60" s="100">
        <v>16</v>
      </c>
      <c r="D60" s="100">
        <v>64</v>
      </c>
      <c r="E60" s="120">
        <v>250</v>
      </c>
      <c r="F60" s="250"/>
      <c r="G60" s="243">
        <f t="shared" si="8"/>
        <v>7.0138888888888893</v>
      </c>
      <c r="H60" s="244">
        <f t="shared" si="9"/>
        <v>5050</v>
      </c>
      <c r="I60" s="217"/>
      <c r="J60" s="251" t="s">
        <v>60</v>
      </c>
      <c r="K60" s="223">
        <f t="shared" si="7"/>
        <v>0</v>
      </c>
      <c r="O60" s="219"/>
      <c r="R60" s="200"/>
      <c r="T60" s="200"/>
    </row>
    <row r="61" spans="2:20" s="192" customFormat="1" ht="25.5" customHeight="1">
      <c r="B61" s="484" t="s">
        <v>47</v>
      </c>
      <c r="C61" s="99">
        <v>16</v>
      </c>
      <c r="D61" s="99">
        <v>64</v>
      </c>
      <c r="E61" s="101">
        <v>500</v>
      </c>
      <c r="F61" s="246"/>
      <c r="G61" s="247">
        <f t="shared" si="8"/>
        <v>7.3611111111111107</v>
      </c>
      <c r="H61" s="248">
        <f t="shared" si="9"/>
        <v>5300</v>
      </c>
      <c r="I61" s="217"/>
      <c r="J61" s="249" t="s">
        <v>60</v>
      </c>
      <c r="K61" s="218">
        <f t="shared" si="7"/>
        <v>0</v>
      </c>
      <c r="O61" s="219"/>
      <c r="R61" s="200"/>
      <c r="T61" s="200"/>
    </row>
    <row r="62" spans="2:20" s="192" customFormat="1" ht="25.5" customHeight="1">
      <c r="B62" s="485" t="s">
        <v>48</v>
      </c>
      <c r="C62" s="100">
        <v>16</v>
      </c>
      <c r="D62" s="100">
        <v>64</v>
      </c>
      <c r="E62" s="120">
        <v>1000</v>
      </c>
      <c r="F62" s="250"/>
      <c r="G62" s="243">
        <f t="shared" si="5"/>
        <v>8.0555555555555554</v>
      </c>
      <c r="H62" s="244">
        <f t="shared" si="6"/>
        <v>5800</v>
      </c>
      <c r="I62" s="217"/>
      <c r="J62" s="251" t="s">
        <v>60</v>
      </c>
      <c r="K62" s="223">
        <f t="shared" si="7"/>
        <v>0</v>
      </c>
      <c r="O62" s="219"/>
      <c r="R62" s="200"/>
      <c r="T62" s="200"/>
    </row>
    <row r="63" spans="2:20" s="192" customFormat="1" ht="25.5" customHeight="1">
      <c r="B63" s="484" t="s">
        <v>49</v>
      </c>
      <c r="C63" s="99">
        <v>32</v>
      </c>
      <c r="D63" s="99">
        <v>128</v>
      </c>
      <c r="E63" s="101">
        <v>250</v>
      </c>
      <c r="F63" s="246"/>
      <c r="G63" s="247">
        <f t="shared" si="5"/>
        <v>13.680555555555555</v>
      </c>
      <c r="H63" s="248">
        <f t="shared" si="6"/>
        <v>9850</v>
      </c>
      <c r="I63" s="217"/>
      <c r="J63" s="249" t="s">
        <v>60</v>
      </c>
      <c r="K63" s="218">
        <f t="shared" si="7"/>
        <v>0</v>
      </c>
      <c r="O63" s="219"/>
      <c r="R63" s="200"/>
      <c r="T63" s="200"/>
    </row>
    <row r="64" spans="2:20" s="192" customFormat="1" ht="25.5" customHeight="1">
      <c r="B64" s="485" t="s">
        <v>50</v>
      </c>
      <c r="C64" s="100">
        <v>32</v>
      </c>
      <c r="D64" s="100">
        <v>128</v>
      </c>
      <c r="E64" s="120">
        <v>500</v>
      </c>
      <c r="F64" s="250"/>
      <c r="G64" s="243">
        <f t="shared" si="5"/>
        <v>14.027777777777779</v>
      </c>
      <c r="H64" s="244">
        <f t="shared" si="6"/>
        <v>10100</v>
      </c>
      <c r="I64" s="217"/>
      <c r="J64" s="251" t="s">
        <v>60</v>
      </c>
      <c r="K64" s="223">
        <f t="shared" si="7"/>
        <v>0</v>
      </c>
      <c r="O64" s="219"/>
      <c r="R64" s="200"/>
      <c r="T64" s="200"/>
    </row>
    <row r="65" spans="2:23" s="192" customFormat="1" ht="25.5" customHeight="1">
      <c r="B65" s="484" t="s">
        <v>51</v>
      </c>
      <c r="C65" s="99">
        <v>32</v>
      </c>
      <c r="D65" s="99">
        <v>128</v>
      </c>
      <c r="E65" s="101">
        <v>1000</v>
      </c>
      <c r="F65" s="246"/>
      <c r="G65" s="247">
        <f t="shared" si="5"/>
        <v>14.722222222222221</v>
      </c>
      <c r="H65" s="248">
        <f t="shared" si="6"/>
        <v>10600</v>
      </c>
      <c r="I65" s="217"/>
      <c r="J65" s="249" t="s">
        <v>60</v>
      </c>
      <c r="K65" s="218">
        <f t="shared" si="7"/>
        <v>0</v>
      </c>
      <c r="O65" s="219"/>
      <c r="R65" s="200"/>
      <c r="T65" s="200"/>
    </row>
    <row r="66" spans="2:23" s="192" customFormat="1" ht="25.5" customHeight="1">
      <c r="B66" s="485" t="s">
        <v>397</v>
      </c>
      <c r="C66" s="100">
        <v>64</v>
      </c>
      <c r="D66" s="100">
        <v>256</v>
      </c>
      <c r="E66" s="120">
        <v>1000</v>
      </c>
      <c r="F66" s="250"/>
      <c r="G66" s="243">
        <f t="shared" ref="G66" si="10">H66/720</f>
        <v>28.055555555555557</v>
      </c>
      <c r="H66" s="244">
        <f t="shared" ref="H66" si="11">C66*IAAS_vcpu_SEK+D66*IAAS_ram_SEK+E66*IAAS_nvme_SEK</f>
        <v>20200</v>
      </c>
      <c r="I66" s="217"/>
      <c r="J66" s="251" t="s">
        <v>60</v>
      </c>
      <c r="K66" s="223">
        <f t="shared" si="7"/>
        <v>0</v>
      </c>
      <c r="O66" s="219"/>
      <c r="R66" s="200"/>
      <c r="T66" s="200"/>
    </row>
    <row r="67" spans="2:23" s="192" customFormat="1" ht="25" customHeight="1">
      <c r="B67" s="481" t="s">
        <v>85</v>
      </c>
      <c r="C67" s="162" cm="1">
        <f t="array" ref="C67">SUM(C43:C66*I43:I66)</f>
        <v>0</v>
      </c>
      <c r="D67" s="162" cm="1">
        <f t="array" ref="D67">SUM(D43:D66*I43:I66)</f>
        <v>0</v>
      </c>
      <c r="E67" s="612" cm="1">
        <f t="array" ref="E67">SUM(E43:E66*I43:I66)</f>
        <v>0</v>
      </c>
      <c r="F67" s="162"/>
      <c r="G67" s="162"/>
      <c r="H67" s="162"/>
      <c r="I67" s="162" t="str">
        <f>SUM(I43:I66)&amp;" st"</f>
        <v>0 st</v>
      </c>
      <c r="J67" s="163"/>
      <c r="K67" s="593">
        <f>SUM(K43:K65)</f>
        <v>0</v>
      </c>
      <c r="O67" s="219"/>
      <c r="R67" s="200"/>
      <c r="T67" s="200"/>
    </row>
    <row r="68" spans="2:23" ht="25.5" customHeight="1">
      <c r="B68" s="486"/>
      <c r="C68" s="19"/>
      <c r="D68" s="19"/>
      <c r="E68" s="19"/>
      <c r="F68" s="252"/>
      <c r="G68" s="253"/>
      <c r="H68" s="254"/>
      <c r="I68" s="254"/>
      <c r="J68" s="252"/>
      <c r="K68" s="255"/>
      <c r="L68" s="202"/>
      <c r="N68" s="192"/>
      <c r="O68" s="205"/>
      <c r="R68" s="200"/>
      <c r="S68" s="200"/>
      <c r="T68" s="228"/>
    </row>
    <row r="69" spans="2:23" ht="25.5" customHeight="1">
      <c r="B69" s="486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255"/>
      <c r="O69" s="205"/>
      <c r="P69" s="192"/>
      <c r="T69" s="200"/>
      <c r="U69" s="200"/>
      <c r="V69" s="228"/>
    </row>
    <row r="70" spans="2:23" ht="25.5" hidden="1" customHeight="1">
      <c r="B70" s="487" t="s">
        <v>274</v>
      </c>
      <c r="C70" s="427"/>
      <c r="D70" s="427"/>
      <c r="E70" s="427"/>
      <c r="F70" s="427"/>
      <c r="G70" s="427"/>
      <c r="H70" s="256"/>
      <c r="I70" s="257"/>
      <c r="J70" s="257"/>
      <c r="K70" s="257"/>
      <c r="L70" s="258"/>
      <c r="M70" s="258"/>
      <c r="O70" s="205"/>
      <c r="T70" s="200"/>
      <c r="U70" s="200"/>
      <c r="V70" s="228"/>
    </row>
    <row r="71" spans="2:23" s="261" customFormat="1" ht="52" hidden="1">
      <c r="B71" s="478" t="s">
        <v>208</v>
      </c>
      <c r="C71" s="13" t="s">
        <v>218</v>
      </c>
      <c r="D71" s="13" t="s">
        <v>11</v>
      </c>
      <c r="E71" s="102" t="s">
        <v>32</v>
      </c>
      <c r="F71" s="206" t="s">
        <v>53</v>
      </c>
      <c r="G71" s="207" t="s">
        <v>269</v>
      </c>
      <c r="H71" s="207" t="s">
        <v>270</v>
      </c>
      <c r="I71" s="208" t="s">
        <v>271</v>
      </c>
      <c r="J71" s="208" t="s">
        <v>272</v>
      </c>
      <c r="K71" s="209"/>
      <c r="L71" s="207" t="s">
        <v>215</v>
      </c>
      <c r="M71" s="207" t="s">
        <v>273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hidden="1" customHeight="1">
      <c r="B72" s="484" t="s">
        <v>54</v>
      </c>
      <c r="C72" s="99">
        <v>4</v>
      </c>
      <c r="D72" s="99">
        <v>16</v>
      </c>
      <c r="E72" s="104">
        <v>250</v>
      </c>
      <c r="F72" s="246">
        <v>1</v>
      </c>
      <c r="G72" s="465">
        <f t="shared" ref="G72:G75" si="12">H72/720</f>
        <v>9.6527777777777786</v>
      </c>
      <c r="H72" s="463">
        <f>C72*IAAS_vcpu_SEK+D72*IAAS_ram_SEK+E72*IAAS_nvme_SEK+F72*IAAS_gpu_SEK</f>
        <v>6950</v>
      </c>
      <c r="I72" s="217"/>
      <c r="J72" s="217"/>
      <c r="K72" s="249" t="str">
        <f>J63</f>
        <v>Instanser</v>
      </c>
      <c r="L72" s="218">
        <f>ROUNDUP(I72*H72,2)</f>
        <v>0</v>
      </c>
      <c r="M72" s="218">
        <f>J72*C72*SW_win.ser.201X_SEK</f>
        <v>0</v>
      </c>
      <c r="O72" s="219"/>
      <c r="T72" s="200"/>
      <c r="V72" s="200"/>
    </row>
    <row r="73" spans="2:23" s="192" customFormat="1" ht="25.5" hidden="1" customHeight="1">
      <c r="B73" s="483" t="s">
        <v>55</v>
      </c>
      <c r="C73" s="97">
        <v>8</v>
      </c>
      <c r="D73" s="97">
        <v>32</v>
      </c>
      <c r="E73" s="103">
        <v>500</v>
      </c>
      <c r="F73" s="242">
        <v>2</v>
      </c>
      <c r="G73" s="464">
        <f t="shared" si="12"/>
        <v>19.305555555555557</v>
      </c>
      <c r="H73" s="462">
        <f>C73*IAAS_vcpu_SEK+D73*IAAS_ram_SEK+E73*IAAS_nvme_SEK+F73*IAAS_gpu_SEK</f>
        <v>13900</v>
      </c>
      <c r="I73" s="217"/>
      <c r="J73" s="217"/>
      <c r="K73" s="245" t="s">
        <v>60</v>
      </c>
      <c r="L73" s="223">
        <f>ROUNDUP(I73*H73,2)</f>
        <v>0</v>
      </c>
      <c r="M73" s="223">
        <f>J73*C73*SW_win.ser.201X_SEK</f>
        <v>0</v>
      </c>
      <c r="O73" s="219"/>
      <c r="T73" s="200"/>
      <c r="V73" s="200"/>
    </row>
    <row r="74" spans="2:23" s="192" customFormat="1" ht="25.5" hidden="1" customHeight="1">
      <c r="B74" s="484" t="s">
        <v>56</v>
      </c>
      <c r="C74" s="99">
        <v>16</v>
      </c>
      <c r="D74" s="99">
        <v>64</v>
      </c>
      <c r="E74" s="104">
        <v>1000</v>
      </c>
      <c r="F74" s="246">
        <v>4</v>
      </c>
      <c r="G74" s="465">
        <f t="shared" si="12"/>
        <v>38.611111111111114</v>
      </c>
      <c r="H74" s="463">
        <f>C74*IAAS_vcpu_SEK+D74*IAAS_ram_SEK+E74*IAAS_nvme_SEK+F74*IAAS_gpu_SEK</f>
        <v>27800</v>
      </c>
      <c r="I74" s="217"/>
      <c r="J74" s="217"/>
      <c r="K74" s="249" t="str">
        <f>J65</f>
        <v>Instanser</v>
      </c>
      <c r="L74" s="218">
        <f>ROUNDUP(I74*H74,2)</f>
        <v>0</v>
      </c>
      <c r="M74" s="218">
        <f>J74*C74*SW_win.ser.201X_SEK</f>
        <v>0</v>
      </c>
      <c r="O74" s="219"/>
      <c r="T74" s="200"/>
      <c r="V74" s="200"/>
    </row>
    <row r="75" spans="2:23" s="192" customFormat="1" ht="25.5" hidden="1" customHeight="1">
      <c r="B75" s="483" t="s">
        <v>57</v>
      </c>
      <c r="C75" s="97">
        <v>32</v>
      </c>
      <c r="D75" s="97">
        <v>128</v>
      </c>
      <c r="E75" s="103">
        <v>1000</v>
      </c>
      <c r="F75" s="242">
        <v>6</v>
      </c>
      <c r="G75" s="464">
        <f t="shared" si="12"/>
        <v>60.555555555555557</v>
      </c>
      <c r="H75" s="462">
        <f>C75*IAAS_vcpu_SEK+D75*IAAS_ram_SEK+E75*IAAS_nvme_SEK+F75*IAAS_gpu_SEK</f>
        <v>43600</v>
      </c>
      <c r="I75" s="217"/>
      <c r="J75" s="217"/>
      <c r="K75" s="245" t="s">
        <v>60</v>
      </c>
      <c r="L75" s="223">
        <f>ROUNDUP(I75*H75,2)</f>
        <v>0</v>
      </c>
      <c r="M75" s="223">
        <f>J75*C75*SW_win.ser.201X_SEK</f>
        <v>0</v>
      </c>
      <c r="O75" s="219"/>
      <c r="T75" s="200"/>
      <c r="V75" s="200"/>
    </row>
    <row r="76" spans="2:23" s="268" customFormat="1" ht="25.5" hidden="1" customHeight="1">
      <c r="B76" s="481" t="s">
        <v>85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3"/>
      <c r="L76" s="593">
        <f>SUM(L72:L75)</f>
        <v>0</v>
      </c>
      <c r="M76" s="90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hidden="1" customHeight="1">
      <c r="B77" s="482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271"/>
      <c r="O77" s="219"/>
      <c r="T77" s="200"/>
      <c r="V77" s="200"/>
    </row>
    <row r="78" spans="2:23" s="192" customFormat="1" ht="25.5" hidden="1" customHeight="1">
      <c r="B78" s="482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271"/>
      <c r="O78" s="219"/>
      <c r="T78" s="200"/>
      <c r="V78" s="200"/>
    </row>
    <row r="79" spans="2:23" s="237" customFormat="1" ht="31" hidden="1">
      <c r="B79" s="447" t="s">
        <v>275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271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52" hidden="1">
      <c r="B80" s="478" t="s">
        <v>208</v>
      </c>
      <c r="C80" s="13" t="s">
        <v>218</v>
      </c>
      <c r="D80" s="13" t="s">
        <v>11</v>
      </c>
      <c r="E80" s="14" t="s">
        <v>32</v>
      </c>
      <c r="F80" s="273"/>
      <c r="G80" s="207" t="s">
        <v>269</v>
      </c>
      <c r="H80" s="207" t="s">
        <v>270</v>
      </c>
      <c r="I80" s="208" t="s">
        <v>271</v>
      </c>
      <c r="J80" s="208" t="s">
        <v>272</v>
      </c>
      <c r="K80" s="209"/>
      <c r="L80" s="207" t="s">
        <v>215</v>
      </c>
      <c r="M80" s="207" t="s">
        <v>273</v>
      </c>
      <c r="N80" s="259"/>
      <c r="O80" s="260"/>
      <c r="P80" s="259"/>
      <c r="Q80" s="259"/>
      <c r="U80" s="262"/>
      <c r="V80" s="262"/>
      <c r="W80" s="263"/>
    </row>
    <row r="81" spans="2:23" s="192" customFormat="1" ht="25.5" hidden="1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247">
        <f t="shared" ref="G81:G83" si="13">H81/720</f>
        <v>9.5</v>
      </c>
      <c r="H81" s="248">
        <f>INSTANCE_p1.2xlarge.16d_SEK</f>
        <v>6840</v>
      </c>
      <c r="I81" s="217"/>
      <c r="J81" s="217"/>
      <c r="K81" s="214" t="s">
        <v>60</v>
      </c>
      <c r="L81" s="218">
        <f>ROUNDUP(I81*H81,2)</f>
        <v>0</v>
      </c>
      <c r="M81" s="218">
        <f>J81*C81*SW_win.ser.201X_SEK</f>
        <v>0</v>
      </c>
      <c r="N81" s="201"/>
      <c r="O81" s="219"/>
    </row>
    <row r="82" spans="2:23" s="192" customFormat="1" ht="25.5" hidden="1" customHeight="1">
      <c r="B82" s="488" t="s">
        <v>61</v>
      </c>
      <c r="C82" s="92">
        <v>32</v>
      </c>
      <c r="D82" s="92">
        <v>256</v>
      </c>
      <c r="E82" s="94">
        <v>3800</v>
      </c>
      <c r="F82" s="276"/>
      <c r="G82" s="243">
        <f t="shared" si="13"/>
        <v>19</v>
      </c>
      <c r="H82" s="244">
        <f>INSTANCE_p1.4xlarge.16d_SEK</f>
        <v>13680</v>
      </c>
      <c r="I82" s="217"/>
      <c r="J82" s="217"/>
      <c r="K82" s="220" t="str">
        <f t="shared" ref="K82" si="14">K81</f>
        <v>Instanser</v>
      </c>
      <c r="L82" s="223">
        <f>ROUNDUP(I82*H82,2)</f>
        <v>0</v>
      </c>
      <c r="M82" s="223">
        <f>J82*C82*SW_win.ser.201X_SEK</f>
        <v>0</v>
      </c>
      <c r="N82" s="201"/>
      <c r="O82" s="219"/>
      <c r="W82" s="200"/>
    </row>
    <row r="83" spans="2:23" s="265" customFormat="1" ht="25.5" hidden="1" customHeight="1">
      <c r="B83" s="489" t="s">
        <v>62</v>
      </c>
      <c r="C83" s="93">
        <v>64</v>
      </c>
      <c r="D83" s="93">
        <v>512</v>
      </c>
      <c r="E83" s="95">
        <v>7600</v>
      </c>
      <c r="F83" s="277"/>
      <c r="G83" s="278">
        <f t="shared" si="13"/>
        <v>38</v>
      </c>
      <c r="H83" s="279">
        <f>INSTANCE_p1.8xlarge.32d_SEK</f>
        <v>27360</v>
      </c>
      <c r="I83" s="217"/>
      <c r="J83" s="217"/>
      <c r="K83" s="214" t="s">
        <v>60</v>
      </c>
      <c r="L83" s="218">
        <f>ROUNDUP(I83*H83,2)</f>
        <v>0</v>
      </c>
      <c r="M83" s="218">
        <f>J83*C83*SW_win.ser.201X_SEK</f>
        <v>0</v>
      </c>
      <c r="N83" s="280"/>
      <c r="O83" s="281"/>
    </row>
    <row r="84" spans="2:23" ht="25.5" hidden="1" customHeight="1">
      <c r="B84" s="482" t="s">
        <v>85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3"/>
      <c r="L84" s="593">
        <f>SUM(L81:L83)</f>
        <v>0</v>
      </c>
      <c r="M84" s="90">
        <f>SUM(M81:M83)</f>
        <v>0</v>
      </c>
      <c r="O84" s="205"/>
    </row>
    <row r="85" spans="2:23" ht="25.5" hidden="1" customHeight="1">
      <c r="B85" s="490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51"/>
      <c r="O85" s="205"/>
    </row>
    <row r="86" spans="2:23" s="192" customFormat="1" ht="25.5" hidden="1" customHeight="1">
      <c r="B86" s="491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271"/>
      <c r="O86" s="219"/>
      <c r="T86" s="200"/>
      <c r="V86" s="200"/>
    </row>
    <row r="87" spans="2:23" ht="25.5" customHeight="1">
      <c r="B87" s="447" t="s">
        <v>276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O87" s="205"/>
      <c r="P87" s="192"/>
      <c r="Q87" s="192"/>
      <c r="R87" s="192"/>
      <c r="S87" s="192"/>
      <c r="T87" s="200"/>
      <c r="U87" s="192"/>
      <c r="V87" s="228"/>
    </row>
    <row r="88" spans="2:23" s="287" customFormat="1" ht="35.25" customHeight="1">
      <c r="B88" s="478" t="s">
        <v>208</v>
      </c>
      <c r="C88" s="26" t="s">
        <v>277</v>
      </c>
      <c r="D88" s="26"/>
      <c r="E88" s="139" t="s">
        <v>269</v>
      </c>
      <c r="F88" s="1149" t="s">
        <v>278</v>
      </c>
      <c r="G88" s="1149"/>
      <c r="H88" s="284"/>
      <c r="I88" s="285" t="s">
        <v>279</v>
      </c>
      <c r="J88" s="284"/>
      <c r="K88" s="583" t="s">
        <v>92</v>
      </c>
      <c r="L88" s="213"/>
      <c r="O88" s="286"/>
      <c r="P88" s="213"/>
      <c r="T88" s="288"/>
      <c r="U88" s="288"/>
      <c r="V88" s="289"/>
    </row>
    <row r="89" spans="2:23" s="192" customFormat="1" ht="25.5" customHeight="1">
      <c r="B89" s="141" t="s">
        <v>67</v>
      </c>
      <c r="C89" s="41" t="s">
        <v>68</v>
      </c>
      <c r="D89" s="80"/>
      <c r="E89" s="82">
        <f>F89/720</f>
        <v>1.6666666666666666E-3</v>
      </c>
      <c r="F89" s="1166">
        <f>VOLUME_large_SEK</f>
        <v>1.2</v>
      </c>
      <c r="G89" s="1166"/>
      <c r="H89" s="675"/>
      <c r="I89" s="290"/>
      <c r="J89" s="512" t="s">
        <v>69</v>
      </c>
      <c r="K89" s="293">
        <f>ROUNDUP(I89*F89,2)</f>
        <v>0</v>
      </c>
      <c r="L89" s="201"/>
      <c r="O89" s="219"/>
    </row>
    <row r="90" spans="2:23" s="192" customFormat="1" ht="25.5" customHeight="1">
      <c r="B90" s="488" t="s">
        <v>70</v>
      </c>
      <c r="C90" s="43" t="s">
        <v>71</v>
      </c>
      <c r="D90" s="81"/>
      <c r="E90" s="83">
        <f>F90/720</f>
        <v>5.0000000000000001E-3</v>
      </c>
      <c r="F90" s="1168">
        <f>VOLUME_fast_SEK</f>
        <v>3.6</v>
      </c>
      <c r="G90" s="1168"/>
      <c r="H90" s="676"/>
      <c r="I90" s="294"/>
      <c r="J90" s="513" t="s">
        <v>69</v>
      </c>
      <c r="K90" s="297">
        <f>ROUNDUP(I90*F90,2)</f>
        <v>0</v>
      </c>
      <c r="L90" s="201"/>
      <c r="O90" s="219"/>
      <c r="V90" s="200"/>
    </row>
    <row r="91" spans="2:23" ht="25.5" customHeight="1">
      <c r="B91" s="481" t="s">
        <v>222</v>
      </c>
      <c r="C91" s="89"/>
      <c r="D91" s="89"/>
      <c r="E91" s="89"/>
      <c r="F91" s="226"/>
      <c r="G91" s="227"/>
      <c r="H91" s="227"/>
      <c r="I91" s="299" t="str">
        <f>SUM(I89:I90)&amp;" GB"</f>
        <v>0 GB</v>
      </c>
      <c r="J91" s="300"/>
      <c r="K91" s="90">
        <f>SUM(K89:K90)</f>
        <v>0</v>
      </c>
      <c r="L91" s="202"/>
      <c r="O91" s="205"/>
    </row>
    <row r="92" spans="2:23" ht="25.5" customHeight="1">
      <c r="B92" s="77"/>
      <c r="C92" s="78"/>
      <c r="D92" s="78"/>
      <c r="E92" s="78"/>
      <c r="F92" s="282"/>
      <c r="G92" s="282"/>
      <c r="H92" s="301"/>
      <c r="I92" s="301"/>
      <c r="J92" s="302"/>
      <c r="K92" s="303"/>
      <c r="L92" s="304"/>
      <c r="M92" s="202"/>
      <c r="O92" s="205"/>
    </row>
    <row r="93" spans="2:23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O93" s="205"/>
    </row>
    <row r="94" spans="2:23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O94" s="191"/>
    </row>
    <row r="95" spans="2:23" s="187" customFormat="1" ht="25.5" customHeight="1">
      <c r="B95" s="1140" t="s">
        <v>72</v>
      </c>
      <c r="C95" s="1140"/>
      <c r="D95" s="1140"/>
      <c r="E95" s="1140"/>
      <c r="F95" s="1140"/>
      <c r="G95" s="1140"/>
      <c r="H95" s="188"/>
      <c r="J95" s="189"/>
      <c r="K95" s="189"/>
      <c r="M95" s="190"/>
      <c r="O95" s="191"/>
    </row>
    <row r="96" spans="2:23" s="187" customFormat="1" ht="25.5" customHeight="1">
      <c r="B96" s="1140"/>
      <c r="C96" s="1140"/>
      <c r="D96" s="1140"/>
      <c r="E96" s="1140"/>
      <c r="F96" s="1140"/>
      <c r="G96" s="1140"/>
      <c r="H96" s="188"/>
      <c r="J96" s="189"/>
      <c r="K96" s="189"/>
      <c r="M96" s="190"/>
      <c r="O96" s="191"/>
    </row>
    <row r="97" spans="2:23" s="187" customFormat="1" ht="25.5" customHeight="1">
      <c r="B97" s="1140"/>
      <c r="C97" s="1140"/>
      <c r="D97" s="1140"/>
      <c r="E97" s="1140"/>
      <c r="F97" s="1140"/>
      <c r="G97" s="1140"/>
      <c r="H97" s="188"/>
      <c r="J97" s="189"/>
      <c r="K97" s="189"/>
      <c r="M97" s="190"/>
      <c r="O97" s="191"/>
    </row>
    <row r="98" spans="2:23" s="187" customFormat="1" ht="25.5" customHeight="1">
      <c r="B98" s="1169" t="s">
        <v>280</v>
      </c>
      <c r="C98" s="1169"/>
      <c r="D98" s="1169"/>
      <c r="E98" s="1169"/>
      <c r="F98" s="1169"/>
      <c r="H98" s="188"/>
      <c r="J98" s="189"/>
      <c r="K98" s="189"/>
      <c r="M98" s="190"/>
      <c r="N98" s="194"/>
      <c r="O98" s="199"/>
    </row>
    <row r="99" spans="2:23" s="311" customFormat="1" ht="25.5" customHeight="1">
      <c r="B99" s="1147" t="s">
        <v>281</v>
      </c>
      <c r="C99" s="1147"/>
      <c r="D99" s="1147"/>
      <c r="E99" s="1147"/>
      <c r="F99" s="1147"/>
      <c r="G99" s="305"/>
      <c r="H99" s="306"/>
      <c r="I99" s="305"/>
      <c r="J99" s="307"/>
      <c r="K99" s="308"/>
      <c r="L99" s="305"/>
      <c r="M99" s="309"/>
      <c r="N99" s="305"/>
      <c r="O99" s="310"/>
    </row>
    <row r="100" spans="2:23" s="187" customFormat="1" ht="25.5" customHeight="1">
      <c r="B100" s="575" t="s">
        <v>282</v>
      </c>
      <c r="C100" s="76"/>
      <c r="D100" s="76"/>
      <c r="E100" s="76"/>
      <c r="F100" s="576"/>
      <c r="G100" s="194"/>
      <c r="H100" s="195"/>
      <c r="I100" s="194"/>
      <c r="J100" s="196"/>
      <c r="K100" s="197"/>
      <c r="L100" s="197"/>
      <c r="M100" s="198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76"/>
      <c r="G101" s="194"/>
      <c r="H101" s="195"/>
      <c r="I101" s="194"/>
      <c r="J101" s="196"/>
      <c r="K101" s="197"/>
      <c r="L101" s="197"/>
      <c r="M101" s="198"/>
      <c r="N101" s="198"/>
      <c r="O101" s="219"/>
      <c r="Q101" s="192"/>
      <c r="R101" s="192"/>
    </row>
    <row r="102" spans="2:23" s="187" customFormat="1" ht="25.5" customHeight="1">
      <c r="B102" s="478" t="s">
        <v>208</v>
      </c>
      <c r="C102" s="12" t="s">
        <v>283</v>
      </c>
      <c r="D102" s="1149" t="s">
        <v>284</v>
      </c>
      <c r="E102" s="1149"/>
      <c r="F102" s="1149"/>
      <c r="G102" s="1149"/>
      <c r="H102" s="1149"/>
      <c r="I102" s="1149"/>
      <c r="J102" s="1149"/>
      <c r="K102" s="1149"/>
      <c r="L102" s="583"/>
      <c r="M102" s="284"/>
      <c r="N102" s="198"/>
      <c r="O102" s="219"/>
      <c r="Q102" s="192"/>
      <c r="R102" s="192"/>
    </row>
    <row r="103" spans="2:23" s="187" customFormat="1" ht="25.5" customHeight="1">
      <c r="B103" s="479" t="s">
        <v>77</v>
      </c>
      <c r="C103" s="46" t="s">
        <v>78</v>
      </c>
      <c r="D103" s="1167">
        <f>S3_storage.50_SEK</f>
        <v>350</v>
      </c>
      <c r="E103" s="1167"/>
      <c r="F103" s="1167"/>
      <c r="G103" s="1167"/>
      <c r="H103" s="1167"/>
      <c r="I103" s="1167"/>
      <c r="J103" s="1167"/>
      <c r="K103" s="1167"/>
      <c r="L103" s="586"/>
      <c r="M103" s="312"/>
      <c r="N103" s="198"/>
      <c r="O103" s="219"/>
      <c r="Q103" s="192"/>
      <c r="R103" s="192"/>
    </row>
    <row r="104" spans="2:23" s="187" customFormat="1" ht="25.5" customHeight="1">
      <c r="B104" s="480" t="s">
        <v>77</v>
      </c>
      <c r="C104" s="48" t="s">
        <v>79</v>
      </c>
      <c r="D104" s="1171">
        <f>S3_storage.100_SEK</f>
        <v>270</v>
      </c>
      <c r="E104" s="1171"/>
      <c r="F104" s="1171"/>
      <c r="G104" s="1171"/>
      <c r="H104" s="1171"/>
      <c r="I104" s="1171"/>
      <c r="J104" s="1171"/>
      <c r="K104" s="1171"/>
      <c r="L104" s="580"/>
      <c r="M104" s="313"/>
      <c r="N104" s="198"/>
      <c r="O104" s="219"/>
      <c r="Q104" s="192"/>
      <c r="R104" s="192"/>
    </row>
    <row r="105" spans="2:23" s="187" customFormat="1" ht="25.5" customHeight="1">
      <c r="B105" s="479" t="s">
        <v>77</v>
      </c>
      <c r="C105" s="46" t="s">
        <v>80</v>
      </c>
      <c r="D105" s="1170">
        <f>S3_storage.500_SEK</f>
        <v>200</v>
      </c>
      <c r="E105" s="1170"/>
      <c r="F105" s="1170"/>
      <c r="G105" s="1170"/>
      <c r="H105" s="1170"/>
      <c r="I105" s="1170"/>
      <c r="J105" s="1170"/>
      <c r="K105" s="1170"/>
      <c r="L105" s="585"/>
      <c r="M105" s="314"/>
      <c r="N105" s="198"/>
      <c r="O105" s="219"/>
      <c r="Q105" s="192"/>
      <c r="R105" s="192"/>
    </row>
    <row r="106" spans="2:23" s="187" customFormat="1" ht="25.5" customHeight="1">
      <c r="B106" s="480" t="s">
        <v>77</v>
      </c>
      <c r="C106" s="48" t="s">
        <v>81</v>
      </c>
      <c r="D106" s="1171">
        <f>S3_storage.1000_SEK</f>
        <v>185</v>
      </c>
      <c r="E106" s="1171"/>
      <c r="F106" s="1171"/>
      <c r="G106" s="1171"/>
      <c r="H106" s="1171"/>
      <c r="I106" s="1171"/>
      <c r="J106" s="1171"/>
      <c r="K106" s="1171"/>
      <c r="L106" s="580"/>
      <c r="M106" s="313"/>
      <c r="N106" s="198"/>
      <c r="O106" s="219"/>
      <c r="Q106" s="192"/>
      <c r="R106" s="192"/>
    </row>
    <row r="107" spans="2:23" s="187" customFormat="1" ht="25.5" customHeight="1">
      <c r="B107" s="479" t="s">
        <v>77</v>
      </c>
      <c r="C107" s="46" t="s">
        <v>82</v>
      </c>
      <c r="D107" s="1172" t="str">
        <f>S3_storage.quote_SEK</f>
        <v>Be om offert</v>
      </c>
      <c r="E107" s="1172"/>
      <c r="F107" s="1172"/>
      <c r="G107" s="1172"/>
      <c r="H107" s="1172"/>
      <c r="I107" s="1172"/>
      <c r="J107" s="1172"/>
      <c r="K107" s="1172"/>
      <c r="L107" s="582"/>
      <c r="M107" s="315"/>
      <c r="N107" s="198"/>
      <c r="O107" s="219"/>
      <c r="Q107" s="192"/>
      <c r="R107" s="192"/>
    </row>
    <row r="108" spans="2:23" s="187" customFormat="1" ht="25.5" customHeight="1">
      <c r="B108" s="504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219"/>
      <c r="Q108" s="192"/>
      <c r="R108" s="192"/>
    </row>
    <row r="109" spans="2:23" s="261" customFormat="1" ht="25.5" customHeight="1">
      <c r="B109" s="505"/>
      <c r="C109" s="140"/>
      <c r="D109" s="140"/>
      <c r="E109" s="140"/>
      <c r="F109" s="576"/>
      <c r="G109" s="194"/>
      <c r="H109" s="195"/>
      <c r="I109" s="194"/>
      <c r="J109" s="196"/>
      <c r="K109" s="197"/>
      <c r="L109" s="197"/>
      <c r="M109" s="198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78" t="s">
        <v>208</v>
      </c>
      <c r="C110" s="26"/>
      <c r="D110" s="26"/>
      <c r="E110" s="138"/>
      <c r="F110" s="26" t="s">
        <v>284</v>
      </c>
      <c r="G110" s="284"/>
      <c r="H110" s="285" t="s">
        <v>283</v>
      </c>
      <c r="I110" s="284"/>
      <c r="J110" s="284"/>
      <c r="K110" s="284"/>
      <c r="L110" s="284"/>
      <c r="M110" s="583" t="s">
        <v>92</v>
      </c>
      <c r="N110" s="317"/>
      <c r="O110" s="219"/>
      <c r="Q110" s="192"/>
      <c r="R110" s="192"/>
    </row>
    <row r="111" spans="2:23" s="268" customFormat="1" ht="25.5" customHeight="1">
      <c r="B111" s="506" t="s">
        <v>77</v>
      </c>
      <c r="C111" s="84"/>
      <c r="D111" s="84"/>
      <c r="E111" s="27"/>
      <c r="F111" s="653" cm="1">
        <f t="array" ref="F111">_xlfn.IFS(H111&lt;51,D103,H111&lt;101,D104,H111&lt;501,D105,H111&lt;1001,D106,H111&gt;1000,D107)</f>
        <v>350</v>
      </c>
      <c r="G111" s="654"/>
      <c r="H111" s="318"/>
      <c r="I111" s="514" t="s">
        <v>84</v>
      </c>
      <c r="J111" s="320"/>
      <c r="K111" s="320"/>
      <c r="L111" s="320"/>
      <c r="M111" s="471" cm="1">
        <f t="array" ref="M111">_xlfn.IFS(H111&lt;1001,ROUNDUP(H111*F111,2),H111&gt;1000,D107)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85</v>
      </c>
      <c r="C112" s="21"/>
      <c r="D112" s="21"/>
      <c r="E112" s="21"/>
      <c r="F112" s="230"/>
      <c r="G112" s="231"/>
      <c r="H112" s="231"/>
      <c r="I112" s="231"/>
      <c r="J112" s="231"/>
      <c r="K112" s="322"/>
      <c r="L112" s="322"/>
      <c r="M112" s="90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304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304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304"/>
      <c r="N115" s="304"/>
      <c r="O115" s="191"/>
    </row>
    <row r="116" spans="1:34" s="187" customFormat="1" ht="25.5" customHeight="1">
      <c r="B116" s="1140" t="s">
        <v>86</v>
      </c>
      <c r="C116" s="1140"/>
      <c r="D116" s="1140"/>
      <c r="E116" s="1140"/>
      <c r="F116" s="1140"/>
      <c r="G116" s="1140"/>
      <c r="H116" s="188"/>
      <c r="J116" s="189"/>
      <c r="K116" s="189"/>
      <c r="L116" s="189"/>
      <c r="M116" s="190"/>
      <c r="N116" s="190"/>
      <c r="O116" s="191"/>
    </row>
    <row r="117" spans="1:34" s="187" customFormat="1" ht="25.5" customHeight="1">
      <c r="B117" s="1140"/>
      <c r="C117" s="1140"/>
      <c r="D117" s="1140"/>
      <c r="E117" s="1140"/>
      <c r="F117" s="1140"/>
      <c r="G117" s="1140"/>
      <c r="H117" s="188"/>
      <c r="J117" s="189"/>
      <c r="K117" s="189"/>
      <c r="L117" s="189"/>
      <c r="M117" s="190"/>
      <c r="N117" s="190"/>
      <c r="O117" s="191"/>
    </row>
    <row r="118" spans="1:34" s="187" customFormat="1" ht="25.5" customHeight="1">
      <c r="B118" s="1140"/>
      <c r="C118" s="1140"/>
      <c r="D118" s="1140"/>
      <c r="E118" s="1140"/>
      <c r="F118" s="1140"/>
      <c r="G118" s="1140"/>
      <c r="H118" s="188"/>
      <c r="J118" s="189"/>
      <c r="K118" s="189"/>
      <c r="L118" s="189"/>
      <c r="M118" s="190"/>
      <c r="N118" s="190"/>
      <c r="O118" s="191"/>
    </row>
    <row r="119" spans="1:34" s="187" customFormat="1" ht="25.5" customHeight="1">
      <c r="B119" s="1169" t="s">
        <v>285</v>
      </c>
      <c r="C119" s="1169"/>
      <c r="D119" s="1169"/>
      <c r="E119" s="1169"/>
      <c r="F119" s="1169"/>
      <c r="H119" s="188"/>
      <c r="J119" s="189"/>
      <c r="K119" s="189"/>
      <c r="L119" s="189"/>
      <c r="M119" s="190"/>
      <c r="N119" s="190"/>
      <c r="O119" s="199"/>
    </row>
    <row r="120" spans="1:34" s="187" customFormat="1" ht="25.5" customHeight="1">
      <c r="B120" s="1147" t="s">
        <v>286</v>
      </c>
      <c r="C120" s="1147"/>
      <c r="D120" s="1147"/>
      <c r="E120" s="1147"/>
      <c r="F120" s="1147"/>
      <c r="G120" s="194"/>
      <c r="H120" s="195"/>
      <c r="I120" s="194"/>
      <c r="J120" s="196"/>
      <c r="K120" s="197"/>
      <c r="L120" s="197"/>
      <c r="M120" s="198"/>
      <c r="N120" s="198"/>
      <c r="O120" s="199"/>
    </row>
    <row r="121" spans="1:34" s="201" customFormat="1" ht="25.5" customHeight="1">
      <c r="B121" s="575" t="s">
        <v>282</v>
      </c>
      <c r="C121" s="76"/>
      <c r="D121" s="76"/>
      <c r="E121" s="76"/>
      <c r="F121" s="576"/>
      <c r="G121" s="194"/>
      <c r="H121" s="195"/>
      <c r="I121" s="194"/>
      <c r="J121" s="196"/>
      <c r="K121" s="197"/>
      <c r="L121" s="197"/>
      <c r="M121" s="198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271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78" t="s">
        <v>208</v>
      </c>
      <c r="C123" s="1149" t="s">
        <v>287</v>
      </c>
      <c r="D123" s="1149"/>
      <c r="E123" s="138" t="s">
        <v>269</v>
      </c>
      <c r="F123" s="1149" t="s">
        <v>278</v>
      </c>
      <c r="G123" s="1149"/>
      <c r="H123" s="285" t="s">
        <v>90</v>
      </c>
      <c r="I123" s="284"/>
      <c r="J123" s="1124" t="s">
        <v>288</v>
      </c>
      <c r="K123" s="1124"/>
      <c r="L123" s="581"/>
      <c r="M123" s="583" t="s">
        <v>92</v>
      </c>
      <c r="N123" s="271"/>
      <c r="O123" s="205"/>
    </row>
    <row r="124" spans="1:34" ht="25.5" customHeight="1">
      <c r="A124" s="328"/>
      <c r="B124" s="577" t="s">
        <v>93</v>
      </c>
      <c r="C124" s="516"/>
      <c r="D124" s="31" t="s">
        <v>94</v>
      </c>
      <c r="E124" s="31" t="s">
        <v>94</v>
      </c>
      <c r="F124" s="1173">
        <f>BAAS_on.demand_SEK</f>
        <v>2.4500000000000002</v>
      </c>
      <c r="G124" s="1174"/>
      <c r="H124" s="329"/>
      <c r="I124" s="512" t="s">
        <v>69</v>
      </c>
      <c r="J124" s="1129" t="s">
        <v>94</v>
      </c>
      <c r="K124" s="1129"/>
      <c r="L124" s="330"/>
      <c r="M124" s="293">
        <f>ROUNDUP(H124*F124,2)</f>
        <v>0</v>
      </c>
      <c r="N124" s="271"/>
      <c r="O124" s="205"/>
    </row>
    <row r="125" spans="1:34" ht="25.5" customHeight="1">
      <c r="A125" s="328"/>
      <c r="B125" s="578" t="s">
        <v>95</v>
      </c>
      <c r="C125" s="518"/>
      <c r="D125" s="33">
        <v>5500</v>
      </c>
      <c r="E125" s="34" t="s">
        <v>94</v>
      </c>
      <c r="F125" s="1175">
        <f>BAAS_small_SEK</f>
        <v>1.75</v>
      </c>
      <c r="G125" s="1176"/>
      <c r="H125" s="331"/>
      <c r="I125" s="513" t="s">
        <v>69</v>
      </c>
      <c r="J125" s="1133">
        <v>0.75</v>
      </c>
      <c r="K125" s="1134"/>
      <c r="L125" s="295"/>
      <c r="M125" s="297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579" t="s">
        <v>96</v>
      </c>
      <c r="C126" s="517"/>
      <c r="D126" s="35">
        <v>9500</v>
      </c>
      <c r="E126" s="37" t="s">
        <v>94</v>
      </c>
      <c r="F126" s="1177">
        <f>BAAS_large_SEK</f>
        <v>0.92</v>
      </c>
      <c r="G126" s="1178"/>
      <c r="H126" s="318"/>
      <c r="I126" s="514" t="s">
        <v>69</v>
      </c>
      <c r="J126" s="1138">
        <v>0.75</v>
      </c>
      <c r="K126" s="1139"/>
      <c r="L126" s="319"/>
      <c r="M126" s="321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85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90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50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30" t="s">
        <v>289</v>
      </c>
      <c r="C129" s="21"/>
      <c r="D129" s="21"/>
      <c r="E129" s="21"/>
      <c r="F129" s="230"/>
      <c r="G129" s="231"/>
      <c r="H129" s="231"/>
      <c r="I129" s="231"/>
      <c r="J129" s="231"/>
      <c r="K129" s="322"/>
      <c r="L129" s="322"/>
      <c r="M129" s="50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30" t="s">
        <v>290</v>
      </c>
      <c r="C130" s="21"/>
      <c r="D130" s="21"/>
      <c r="E130" s="21"/>
      <c r="F130" s="230"/>
      <c r="G130" s="231"/>
      <c r="H130" s="231"/>
      <c r="I130" s="231"/>
      <c r="J130" s="231"/>
      <c r="K130" s="322"/>
      <c r="L130" s="322"/>
      <c r="M130" s="50"/>
      <c r="N130" s="50"/>
      <c r="O130" s="219"/>
      <c r="Q130" s="192"/>
      <c r="R130" s="192"/>
    </row>
    <row r="131" spans="1:34" ht="25.5" customHeight="1">
      <c r="B131" s="30" t="s">
        <v>291</v>
      </c>
      <c r="C131" s="28"/>
      <c r="D131" s="28"/>
      <c r="E131" s="28"/>
      <c r="F131" s="324"/>
      <c r="G131" s="325"/>
      <c r="H131" s="301"/>
      <c r="I131" s="301"/>
      <c r="J131" s="301"/>
      <c r="K131" s="326"/>
      <c r="L131" s="326"/>
      <c r="M131" s="304"/>
      <c r="N131" s="304"/>
      <c r="O131" s="219"/>
      <c r="Q131" s="192"/>
      <c r="R131" s="192"/>
    </row>
    <row r="132" spans="1:34" ht="25.5" customHeight="1">
      <c r="B132" s="30" t="s">
        <v>292</v>
      </c>
      <c r="C132" s="28"/>
      <c r="D132" s="28"/>
      <c r="E132" s="28"/>
      <c r="F132" s="324"/>
      <c r="G132" s="325"/>
      <c r="H132" s="301"/>
      <c r="I132" s="301"/>
      <c r="J132" s="301"/>
      <c r="K132" s="326"/>
      <c r="L132" s="304"/>
      <c r="M132" s="304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304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304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304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304"/>
      <c r="N136" s="201"/>
      <c r="O136" s="219"/>
      <c r="P136" s="192"/>
      <c r="Q136" s="192"/>
    </row>
    <row r="137" spans="1:34" s="187" customFormat="1" ht="25.5" customHeight="1">
      <c r="B137" s="1140" t="s">
        <v>293</v>
      </c>
      <c r="C137" s="1140"/>
      <c r="D137" s="1140"/>
      <c r="E137" s="1140"/>
      <c r="F137" s="1140"/>
      <c r="G137" s="1140"/>
      <c r="H137" s="188"/>
      <c r="J137" s="189"/>
      <c r="K137" s="189"/>
      <c r="M137" s="304"/>
      <c r="N137" s="201"/>
      <c r="O137" s="219"/>
    </row>
    <row r="138" spans="1:34" s="187" customFormat="1" ht="25.5" customHeight="1">
      <c r="B138" s="1140"/>
      <c r="C138" s="1140"/>
      <c r="D138" s="1140"/>
      <c r="E138" s="1140"/>
      <c r="F138" s="1140"/>
      <c r="G138" s="1140"/>
      <c r="H138" s="188"/>
      <c r="J138" s="189"/>
      <c r="K138" s="189"/>
      <c r="M138" s="304"/>
      <c r="N138" s="201"/>
      <c r="O138" s="219"/>
    </row>
    <row r="139" spans="1:34" s="187" customFormat="1" ht="25.5" customHeight="1">
      <c r="B139" s="1140"/>
      <c r="C139" s="1140"/>
      <c r="D139" s="1140"/>
      <c r="E139" s="1140"/>
      <c r="F139" s="1140"/>
      <c r="G139" s="1140"/>
      <c r="H139" s="188"/>
      <c r="J139" s="189"/>
      <c r="K139" s="189"/>
      <c r="M139" s="304"/>
      <c r="N139" s="201"/>
      <c r="O139" s="219"/>
    </row>
    <row r="140" spans="1:34" s="187" customFormat="1" ht="25.5" customHeight="1">
      <c r="B140" s="1147" t="s">
        <v>286</v>
      </c>
      <c r="C140" s="1147"/>
      <c r="D140" s="1147"/>
      <c r="E140" s="1147"/>
      <c r="F140" s="1147"/>
      <c r="H140" s="188"/>
      <c r="J140" s="189"/>
      <c r="K140" s="189"/>
      <c r="M140" s="304"/>
      <c r="N140" s="201"/>
      <c r="O140" s="219"/>
    </row>
    <row r="141" spans="1:34" s="187" customFormat="1" ht="25.5" customHeight="1">
      <c r="B141" s="1125"/>
      <c r="C141" s="1125"/>
      <c r="D141" s="1125"/>
      <c r="E141" s="1125"/>
      <c r="F141" s="1125"/>
      <c r="G141" s="194"/>
      <c r="H141" s="195"/>
      <c r="I141" s="194"/>
      <c r="J141" s="196"/>
      <c r="K141" s="197"/>
      <c r="L141" s="194"/>
      <c r="M141" s="304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76"/>
      <c r="G142" s="194"/>
      <c r="H142" s="195"/>
      <c r="I142" s="194"/>
      <c r="J142" s="196"/>
      <c r="K142" s="197"/>
      <c r="L142" s="194"/>
      <c r="M142" s="304"/>
      <c r="N142" s="201"/>
      <c r="O142" s="219"/>
    </row>
    <row r="143" spans="1:34" s="201" customFormat="1" ht="25.5" customHeight="1">
      <c r="B143" s="23" t="s">
        <v>294</v>
      </c>
      <c r="C143" s="140"/>
      <c r="D143" s="140"/>
      <c r="E143" s="140"/>
      <c r="F143" s="576"/>
      <c r="G143" s="194"/>
      <c r="H143" s="194"/>
      <c r="I143" s="194"/>
      <c r="J143" s="196"/>
      <c r="K143" s="197"/>
      <c r="L143" s="194"/>
      <c r="M143" s="304"/>
      <c r="O143" s="219"/>
      <c r="P143" s="192"/>
      <c r="Q143" s="192"/>
      <c r="R143" s="192"/>
      <c r="S143" s="192"/>
      <c r="T143" s="192"/>
      <c r="U143" s="192"/>
    </row>
    <row r="144" spans="1:34" ht="25.5" customHeight="1">
      <c r="B144" s="510" t="s">
        <v>208</v>
      </c>
      <c r="C144" s="25" t="s">
        <v>102</v>
      </c>
      <c r="D144" s="25"/>
      <c r="E144" s="26" t="s">
        <v>277</v>
      </c>
      <c r="F144" s="284"/>
      <c r="G144" s="284"/>
      <c r="H144" s="284"/>
      <c r="I144" s="284"/>
      <c r="J144" s="284"/>
      <c r="K144" s="284"/>
      <c r="L144" s="337" t="s">
        <v>295</v>
      </c>
      <c r="M144" s="583" t="s">
        <v>270</v>
      </c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104</v>
      </c>
      <c r="C145" s="136" t="s">
        <v>105</v>
      </c>
      <c r="D145" s="136"/>
      <c r="E145" s="41" t="s">
        <v>237</v>
      </c>
      <c r="F145" s="340"/>
      <c r="G145" s="340"/>
      <c r="H145" s="340"/>
      <c r="I145" s="340"/>
      <c r="J145" s="340"/>
      <c r="K145" s="340"/>
      <c r="L145" s="342" t="s">
        <v>296</v>
      </c>
      <c r="M145" s="590">
        <f>NET_publicv4_SEK</f>
        <v>25</v>
      </c>
      <c r="O145" s="219"/>
      <c r="P145" s="203"/>
      <c r="Q145" s="168"/>
      <c r="R145" s="304"/>
      <c r="S145" s="201"/>
    </row>
    <row r="146" spans="2:22" ht="25.5" customHeight="1">
      <c r="B146" s="144" t="s">
        <v>108</v>
      </c>
      <c r="C146" s="137" t="s">
        <v>109</v>
      </c>
      <c r="D146" s="137"/>
      <c r="E146" s="43" t="s">
        <v>237</v>
      </c>
      <c r="F146" s="343"/>
      <c r="G146" s="343"/>
      <c r="H146" s="343"/>
      <c r="I146" s="343"/>
      <c r="J146" s="343"/>
      <c r="K146" s="343"/>
      <c r="L146" s="345" t="s">
        <v>94</v>
      </c>
      <c r="M146" s="591">
        <f>NET_publicv6_SEK</f>
        <v>0</v>
      </c>
      <c r="O146" s="219"/>
      <c r="P146" s="203"/>
      <c r="Q146" s="168"/>
      <c r="R146" s="304"/>
      <c r="S146" s="201"/>
    </row>
    <row r="147" spans="2:22" ht="25.5" customHeight="1">
      <c r="B147" s="141" t="s">
        <v>110</v>
      </c>
      <c r="C147" s="136" t="s">
        <v>297</v>
      </c>
      <c r="D147" s="136"/>
      <c r="E147" s="155"/>
      <c r="F147" s="346"/>
      <c r="G147" s="346"/>
      <c r="H147" s="346"/>
      <c r="I147" s="346"/>
      <c r="J147" s="346"/>
      <c r="K147" s="346"/>
      <c r="L147" s="342" t="s">
        <v>69</v>
      </c>
      <c r="M147" s="590">
        <f>NET_ingress_SEK</f>
        <v>0</v>
      </c>
      <c r="O147" s="219"/>
      <c r="P147" s="203"/>
      <c r="Q147" s="168"/>
      <c r="R147" s="304"/>
      <c r="S147" s="201"/>
    </row>
    <row r="148" spans="2:22" ht="25.5" customHeight="1">
      <c r="B148" s="144" t="s">
        <v>112</v>
      </c>
      <c r="C148" s="137" t="s">
        <v>297</v>
      </c>
      <c r="D148" s="137"/>
      <c r="E148" s="43" t="s">
        <v>298</v>
      </c>
      <c r="F148" s="343"/>
      <c r="G148" s="343"/>
      <c r="H148" s="343"/>
      <c r="I148" s="343"/>
      <c r="J148" s="343"/>
      <c r="K148" s="343"/>
      <c r="L148" s="348" t="s">
        <v>69</v>
      </c>
      <c r="M148" s="591">
        <f>NET_egress_SEK</f>
        <v>0.25</v>
      </c>
      <c r="O148" s="219"/>
      <c r="P148" s="203"/>
      <c r="Q148" s="168"/>
      <c r="R148" s="304"/>
      <c r="S148" s="201"/>
    </row>
    <row r="149" spans="2:22" ht="25.5" customHeight="1">
      <c r="B149" s="141" t="s">
        <v>114</v>
      </c>
      <c r="C149" s="136" t="s">
        <v>115</v>
      </c>
      <c r="D149" s="136"/>
      <c r="E149" s="32"/>
      <c r="F149" s="346"/>
      <c r="G149" s="346"/>
      <c r="H149" s="346"/>
      <c r="I149" s="346"/>
      <c r="J149" s="346"/>
      <c r="K149" s="346"/>
      <c r="L149" s="342" t="s">
        <v>240</v>
      </c>
      <c r="M149" s="590" t="str">
        <f>NET_mgn.slb_SEK</f>
        <v>Begär offert</v>
      </c>
      <c r="N149" s="168"/>
      <c r="O149" s="219"/>
      <c r="P149" s="168"/>
      <c r="Q149" s="349"/>
      <c r="S149" s="328"/>
    </row>
    <row r="150" spans="2:22" ht="25.5" customHeight="1">
      <c r="B150" s="144" t="s">
        <v>117</v>
      </c>
      <c r="C150" s="137" t="s">
        <v>118</v>
      </c>
      <c r="D150" s="137"/>
      <c r="E150" s="43"/>
      <c r="F150" s="343"/>
      <c r="G150" s="343"/>
      <c r="H150" s="343"/>
      <c r="I150" s="343"/>
      <c r="J150" s="343"/>
      <c r="K150" s="343"/>
      <c r="L150" s="345" t="s">
        <v>94</v>
      </c>
      <c r="M150" s="591">
        <f>NET_rdns_SEK</f>
        <v>0</v>
      </c>
      <c r="O150" s="219"/>
      <c r="P150" s="203"/>
      <c r="Q150" s="168"/>
      <c r="R150" s="304"/>
      <c r="S150" s="201"/>
    </row>
    <row r="151" spans="2:22" ht="25.5" customHeight="1">
      <c r="B151" s="141" t="s">
        <v>120</v>
      </c>
      <c r="C151" s="136" t="s">
        <v>121</v>
      </c>
      <c r="D151" s="136"/>
      <c r="E151" s="32"/>
      <c r="F151" s="346"/>
      <c r="G151" s="346"/>
      <c r="H151" s="346"/>
      <c r="I151" s="346"/>
      <c r="J151" s="346"/>
      <c r="K151" s="346"/>
      <c r="L151" s="342" t="s">
        <v>94</v>
      </c>
      <c r="M151" s="604">
        <f>NET_byoip_SEK</f>
        <v>0</v>
      </c>
      <c r="O151" s="219"/>
      <c r="P151" s="203"/>
      <c r="Q151" s="168"/>
      <c r="R151" s="304"/>
      <c r="S151" s="201"/>
    </row>
    <row r="152" spans="2:22" ht="40.5" customHeight="1">
      <c r="B152" s="148"/>
      <c r="C152" s="148"/>
      <c r="D152" s="149"/>
      <c r="E152" s="149"/>
      <c r="F152" s="352"/>
      <c r="G152" s="352"/>
      <c r="H152" s="352"/>
      <c r="I152" s="352"/>
      <c r="J152" s="352"/>
      <c r="K152" s="352"/>
      <c r="L152" s="351"/>
      <c r="M152" s="352"/>
      <c r="O152" s="219"/>
      <c r="P152" s="203"/>
      <c r="Q152" s="168"/>
      <c r="R152" s="304"/>
      <c r="S152" s="201"/>
    </row>
    <row r="153" spans="2:22" ht="25.5" customHeight="1">
      <c r="B153" s="447" t="s">
        <v>299</v>
      </c>
      <c r="C153" s="15"/>
      <c r="D153" s="15"/>
      <c r="E153" s="15"/>
      <c r="F153" s="212"/>
      <c r="G153" s="212"/>
      <c r="H153" s="212"/>
      <c r="I153" s="212"/>
      <c r="J153" s="212"/>
      <c r="K153" s="212"/>
      <c r="L153" s="353"/>
      <c r="M153" s="202"/>
      <c r="N153" s="168"/>
      <c r="O153" s="219"/>
      <c r="P153" s="168"/>
      <c r="Q153" s="349"/>
      <c r="R153" s="304"/>
      <c r="S153" s="201"/>
    </row>
    <row r="154" spans="2:22" ht="25.5" customHeight="1">
      <c r="B154" s="515" t="s">
        <v>208</v>
      </c>
      <c r="C154" s="25" t="s">
        <v>102</v>
      </c>
      <c r="D154" s="110"/>
      <c r="E154" s="110" t="s">
        <v>277</v>
      </c>
      <c r="F154" s="354"/>
      <c r="G154" s="354"/>
      <c r="H154" s="354"/>
      <c r="I154" s="354"/>
      <c r="J154" s="354"/>
      <c r="K154" s="354"/>
      <c r="L154" s="337" t="s">
        <v>295</v>
      </c>
      <c r="M154" s="583" t="s">
        <v>270</v>
      </c>
      <c r="O154" s="219"/>
      <c r="P154" s="168"/>
      <c r="Q154" s="168"/>
      <c r="R154" s="304"/>
      <c r="S154" s="201"/>
    </row>
    <row r="155" spans="2:22" ht="25.5" customHeight="1">
      <c r="B155" s="141" t="s">
        <v>122</v>
      </c>
      <c r="C155" s="136"/>
      <c r="D155" s="32"/>
      <c r="E155" s="32" t="s">
        <v>123</v>
      </c>
      <c r="F155" s="340"/>
      <c r="G155" s="340"/>
      <c r="H155" s="340"/>
      <c r="I155" s="340"/>
      <c r="J155" s="340"/>
      <c r="K155" s="340"/>
      <c r="L155" s="342" t="s">
        <v>10</v>
      </c>
      <c r="M155" s="589">
        <f>SW_win.ser.201X_SEK</f>
        <v>78</v>
      </c>
      <c r="N155" s="301"/>
      <c r="O155" s="219"/>
      <c r="P155" s="168"/>
      <c r="Q155" s="304"/>
      <c r="R155" s="304"/>
      <c r="S155" s="201"/>
      <c r="U155" s="192"/>
      <c r="V155" s="192"/>
    </row>
    <row r="156" spans="2:22" ht="25.5" customHeight="1">
      <c r="B156" s="144" t="s">
        <v>124</v>
      </c>
      <c r="C156" s="137"/>
      <c r="D156" s="40"/>
      <c r="E156" s="40" t="s">
        <v>125</v>
      </c>
      <c r="F156" s="343"/>
      <c r="G156" s="343"/>
      <c r="H156" s="343"/>
      <c r="I156" s="343"/>
      <c r="J156" s="343"/>
      <c r="K156" s="343"/>
      <c r="L156" s="348" t="s">
        <v>10</v>
      </c>
      <c r="M156" s="588">
        <f>SW_win.ser.201X_SEK</f>
        <v>78</v>
      </c>
      <c r="N156" s="301"/>
      <c r="O156" s="219"/>
      <c r="P156" s="168"/>
      <c r="Q156" s="304"/>
      <c r="R156" s="304"/>
      <c r="S156" s="201"/>
      <c r="U156" s="192"/>
      <c r="V156" s="192"/>
    </row>
    <row r="157" spans="2:22" s="187" customFormat="1" ht="25.5" customHeight="1">
      <c r="B157" s="141" t="s">
        <v>126</v>
      </c>
      <c r="C157" s="136"/>
      <c r="D157" s="32"/>
      <c r="E157" s="32" t="s">
        <v>127</v>
      </c>
      <c r="F157" s="340"/>
      <c r="G157" s="340"/>
      <c r="H157" s="340"/>
      <c r="I157" s="340"/>
      <c r="J157" s="340"/>
      <c r="K157" s="340"/>
      <c r="L157" s="342" t="s">
        <v>10</v>
      </c>
      <c r="M157" s="589">
        <f>SW_ms.sql.ser_SEK</f>
        <v>1498</v>
      </c>
      <c r="O157" s="219"/>
      <c r="P157" s="168"/>
      <c r="R157" s="304"/>
      <c r="S157" s="201"/>
    </row>
    <row r="158" spans="2:22" ht="25.5" customHeight="1">
      <c r="B158" s="144" t="s">
        <v>128</v>
      </c>
      <c r="C158" s="137"/>
      <c r="D158" s="40"/>
      <c r="E158" s="40" t="s">
        <v>129</v>
      </c>
      <c r="F158" s="343"/>
      <c r="G158" s="343"/>
      <c r="H158" s="343"/>
      <c r="I158" s="343"/>
      <c r="J158" s="343"/>
      <c r="K158" s="343"/>
      <c r="L158" s="348" t="s">
        <v>300</v>
      </c>
      <c r="M158" s="588" t="str">
        <f>SW_stackn_SEK</f>
        <v>Begär offert</v>
      </c>
      <c r="O158" s="219"/>
      <c r="P158" s="168"/>
      <c r="Q158" s="168"/>
      <c r="R158" s="304"/>
      <c r="S158" s="201"/>
    </row>
    <row r="159" spans="2:22" ht="25.5" customHeight="1">
      <c r="B159" s="141" t="s">
        <v>130</v>
      </c>
      <c r="C159" s="136"/>
      <c r="D159" s="32"/>
      <c r="E159" s="32" t="s">
        <v>131</v>
      </c>
      <c r="F159" s="340"/>
      <c r="G159" s="340"/>
      <c r="H159" s="340"/>
      <c r="I159" s="340"/>
      <c r="J159" s="340"/>
      <c r="K159" s="340"/>
      <c r="L159" s="350" t="s">
        <v>94</v>
      </c>
      <c r="M159" s="589" t="str">
        <f>SW_nextcloud_SEK</f>
        <v>Begär offert</v>
      </c>
      <c r="N159" s="301"/>
      <c r="O159" s="219"/>
      <c r="P159" s="168"/>
      <c r="Q159" s="304"/>
      <c r="R159" s="304"/>
      <c r="S159" s="201"/>
      <c r="U159" s="192"/>
      <c r="V159" s="192"/>
    </row>
    <row r="160" spans="2:22" s="187" customFormat="1" ht="25.5" customHeight="1">
      <c r="B160" s="144" t="s">
        <v>132</v>
      </c>
      <c r="C160" s="137"/>
      <c r="D160" s="40"/>
      <c r="E160" s="40" t="s">
        <v>133</v>
      </c>
      <c r="F160" s="343"/>
      <c r="G160" s="343"/>
      <c r="H160" s="343"/>
      <c r="I160" s="343"/>
      <c r="J160" s="343"/>
      <c r="K160" s="343"/>
      <c r="L160" s="345" t="s">
        <v>94</v>
      </c>
      <c r="M160" s="588" t="str">
        <f>SW_suse_SEK</f>
        <v>Begär offert</v>
      </c>
      <c r="O160" s="219"/>
      <c r="P160" s="168"/>
      <c r="R160" s="304"/>
      <c r="S160" s="201"/>
    </row>
    <row r="161" spans="2:19" ht="25.5" customHeight="1">
      <c r="B161" s="141" t="s">
        <v>134</v>
      </c>
      <c r="C161" s="136"/>
      <c r="D161" s="32"/>
      <c r="E161" s="32" t="s">
        <v>135</v>
      </c>
      <c r="F161" s="340"/>
      <c r="G161" s="340"/>
      <c r="H161" s="340"/>
      <c r="I161" s="340"/>
      <c r="J161" s="340"/>
      <c r="K161" s="340"/>
      <c r="L161" s="350" t="s">
        <v>94</v>
      </c>
      <c r="M161" s="589" t="str">
        <f>SW_cluster.control_SEK</f>
        <v>3x instanspris</v>
      </c>
      <c r="O161" s="219"/>
      <c r="P161" s="168"/>
      <c r="Q161" s="168"/>
      <c r="R161" s="304"/>
      <c r="S161" s="201"/>
    </row>
    <row r="162" spans="2:19" ht="25.5" customHeight="1">
      <c r="B162" s="144" t="s">
        <v>136</v>
      </c>
      <c r="C162" s="137"/>
      <c r="D162" s="40"/>
      <c r="E162" s="40" t="s">
        <v>137</v>
      </c>
      <c r="F162" s="343"/>
      <c r="G162" s="343"/>
      <c r="H162" s="343"/>
      <c r="I162" s="343"/>
      <c r="J162" s="343"/>
      <c r="K162" s="343"/>
      <c r="L162" s="348" t="s">
        <v>140</v>
      </c>
      <c r="M162" s="588">
        <f>SW_backup.ninja_SEK</f>
        <v>400</v>
      </c>
      <c r="O162" s="219"/>
      <c r="P162" s="168"/>
      <c r="Q162" s="168"/>
      <c r="R162" s="304"/>
      <c r="S162" s="201"/>
    </row>
    <row r="163" spans="2:19" ht="25.5" customHeight="1">
      <c r="B163" s="109"/>
      <c r="C163" s="106"/>
      <c r="D163" s="107"/>
      <c r="E163" s="108"/>
      <c r="F163" s="356"/>
      <c r="G163" s="356"/>
      <c r="H163" s="356"/>
      <c r="I163" s="356"/>
      <c r="J163" s="356"/>
      <c r="K163" s="356"/>
      <c r="L163" s="357"/>
      <c r="M163" s="359"/>
      <c r="O163" s="219"/>
      <c r="P163" s="203"/>
      <c r="Q163" s="168"/>
      <c r="R163" s="304"/>
      <c r="S163" s="201"/>
    </row>
    <row r="164" spans="2:19" ht="25.5" customHeight="1">
      <c r="B164" s="511"/>
      <c r="J164" s="202"/>
      <c r="K164" s="202"/>
      <c r="L164" s="202"/>
      <c r="M164" s="202"/>
      <c r="N164" s="168"/>
      <c r="O164" s="219"/>
      <c r="P164" s="168"/>
      <c r="Q164" s="349"/>
      <c r="R164" s="304"/>
      <c r="S164" s="201"/>
    </row>
    <row r="165" spans="2:19" ht="25.5" customHeight="1">
      <c r="B165" s="447" t="s">
        <v>243</v>
      </c>
      <c r="C165" s="15"/>
      <c r="D165" s="15"/>
      <c r="F165" s="212"/>
      <c r="G165" s="212"/>
      <c r="H165" s="212"/>
      <c r="I165" s="212"/>
      <c r="J165" s="212"/>
      <c r="K165" s="212"/>
      <c r="L165" s="212"/>
      <c r="M165" s="202"/>
      <c r="N165" s="168"/>
      <c r="O165" s="219"/>
      <c r="P165" s="168"/>
      <c r="Q165" s="349"/>
      <c r="R165" s="304"/>
      <c r="S165" s="201"/>
    </row>
    <row r="166" spans="2:19" ht="25.5" customHeight="1">
      <c r="B166" s="510" t="s">
        <v>208</v>
      </c>
      <c r="C166" s="25"/>
      <c r="D166" s="25"/>
      <c r="E166" s="25" t="s">
        <v>277</v>
      </c>
      <c r="F166" s="284"/>
      <c r="G166" s="284"/>
      <c r="H166" s="284"/>
      <c r="I166" s="284"/>
      <c r="J166" s="284"/>
      <c r="K166" s="284"/>
      <c r="L166" s="583"/>
      <c r="M166" s="583" t="s">
        <v>270</v>
      </c>
      <c r="N166" s="168"/>
      <c r="O166" s="219"/>
      <c r="P166" s="168"/>
      <c r="Q166" s="349"/>
      <c r="R166" s="304"/>
      <c r="S166" s="201"/>
    </row>
    <row r="167" spans="2:19" ht="25.5" customHeight="1">
      <c r="B167" s="141" t="s">
        <v>413</v>
      </c>
      <c r="C167" s="136"/>
      <c r="D167" s="32"/>
      <c r="E167" s="32" t="s">
        <v>415</v>
      </c>
      <c r="F167" s="340"/>
      <c r="G167" s="340"/>
      <c r="H167" s="340"/>
      <c r="I167" s="340"/>
      <c r="J167" s="340"/>
      <c r="K167" s="340"/>
      <c r="L167" s="341"/>
      <c r="M167" s="605">
        <f>PAAS_man.kubernetes24_SEK</f>
        <v>24000</v>
      </c>
      <c r="N167" s="168"/>
      <c r="O167" s="219"/>
      <c r="P167" s="168"/>
      <c r="Q167" s="349"/>
      <c r="R167" s="304"/>
      <c r="S167" s="201"/>
    </row>
    <row r="168" spans="2:19" ht="25.5" customHeight="1">
      <c r="B168" s="144" t="s">
        <v>414</v>
      </c>
      <c r="C168" s="137"/>
      <c r="D168" s="40"/>
      <c r="E168" s="40" t="s">
        <v>416</v>
      </c>
      <c r="F168" s="343"/>
      <c r="G168" s="343"/>
      <c r="H168" s="343"/>
      <c r="I168" s="343"/>
      <c r="J168" s="343"/>
      <c r="K168" s="343"/>
      <c r="L168" s="344"/>
      <c r="M168" s="606">
        <f>PAAS_man.kubernetes8_SEK</f>
        <v>15000</v>
      </c>
      <c r="N168" s="168"/>
      <c r="O168" s="219"/>
      <c r="P168" s="168"/>
      <c r="Q168" s="349"/>
      <c r="R168" s="304"/>
      <c r="S168" s="201"/>
    </row>
    <row r="169" spans="2:19" ht="25.5" customHeight="1">
      <c r="B169" s="141" t="s">
        <v>141</v>
      </c>
      <c r="C169" s="136"/>
      <c r="D169" s="32"/>
      <c r="E169" s="32" t="s">
        <v>244</v>
      </c>
      <c r="F169" s="340"/>
      <c r="G169" s="340"/>
      <c r="H169" s="340"/>
      <c r="I169" s="340"/>
      <c r="J169" s="340"/>
      <c r="K169" s="340"/>
      <c r="L169" s="341"/>
      <c r="M169" s="607" t="s">
        <v>310</v>
      </c>
      <c r="N169" s="168"/>
      <c r="O169" s="219"/>
      <c r="P169" s="168"/>
      <c r="Q169" s="349"/>
      <c r="R169" s="304"/>
      <c r="S169" s="201"/>
    </row>
    <row r="170" spans="2:19" ht="25.5" customHeight="1">
      <c r="B170" s="144" t="s">
        <v>143</v>
      </c>
      <c r="C170" s="137"/>
      <c r="D170" s="40"/>
      <c r="E170" s="40" t="s">
        <v>144</v>
      </c>
      <c r="F170" s="343"/>
      <c r="G170" s="343"/>
      <c r="H170" s="343"/>
      <c r="I170" s="343"/>
      <c r="J170" s="343"/>
      <c r="K170" s="343"/>
      <c r="L170" s="344"/>
      <c r="M170" s="606" t="s">
        <v>310</v>
      </c>
      <c r="N170" s="168"/>
      <c r="O170" s="219"/>
      <c r="P170" s="168"/>
      <c r="Q170" s="349"/>
      <c r="R170" s="304"/>
      <c r="S170" s="201"/>
    </row>
    <row r="171" spans="2:19" ht="25.5" customHeight="1">
      <c r="B171" s="141" t="s">
        <v>146</v>
      </c>
      <c r="C171" s="136"/>
      <c r="D171" s="32"/>
      <c r="E171" s="32" t="s">
        <v>147</v>
      </c>
      <c r="F171" s="340"/>
      <c r="G171" s="340"/>
      <c r="H171" s="340"/>
      <c r="I171" s="340"/>
      <c r="J171" s="340"/>
      <c r="K171" s="340"/>
      <c r="L171" s="341"/>
      <c r="M171" s="607" t="s">
        <v>310</v>
      </c>
      <c r="N171" s="168"/>
      <c r="O171" s="219"/>
      <c r="P171" s="168"/>
      <c r="Q171" s="349"/>
      <c r="R171" s="304"/>
      <c r="S171" s="201"/>
    </row>
    <row r="172" spans="2:19" ht="25.5" customHeight="1">
      <c r="B172" s="144" t="s">
        <v>149</v>
      </c>
      <c r="C172" s="137"/>
      <c r="D172" s="40"/>
      <c r="E172" s="40" t="s">
        <v>150</v>
      </c>
      <c r="F172" s="343"/>
      <c r="G172" s="343"/>
      <c r="H172" s="343"/>
      <c r="I172" s="343"/>
      <c r="J172" s="343"/>
      <c r="K172" s="343"/>
      <c r="L172" s="344"/>
      <c r="M172" s="608" t="s">
        <v>310</v>
      </c>
      <c r="N172" s="168"/>
      <c r="O172" s="219"/>
      <c r="P172" s="168"/>
      <c r="Q172" s="349"/>
      <c r="R172" s="304"/>
      <c r="S172" s="201"/>
    </row>
    <row r="173" spans="2:19" ht="25.5" customHeight="1">
      <c r="B173" s="106"/>
      <c r="C173" s="106"/>
      <c r="D173" s="428"/>
      <c r="E173" s="108"/>
      <c r="F173" s="356"/>
      <c r="G173" s="356"/>
      <c r="H173" s="356"/>
      <c r="I173" s="356"/>
      <c r="J173" s="356"/>
      <c r="K173" s="356"/>
      <c r="L173" s="357"/>
      <c r="M173" s="359"/>
      <c r="N173" s="168"/>
      <c r="O173" s="219"/>
      <c r="P173" s="168"/>
      <c r="Q173" s="349"/>
      <c r="R173" s="304"/>
      <c r="S173" s="201"/>
    </row>
    <row r="174" spans="2:19" ht="25.5" customHeight="1">
      <c r="B174" s="137"/>
      <c r="C174" s="137"/>
      <c r="D174" s="40"/>
      <c r="E174" s="33"/>
      <c r="F174" s="343"/>
      <c r="G174" s="344"/>
      <c r="H174" s="348"/>
      <c r="I174" s="591"/>
      <c r="M174" s="304"/>
      <c r="N174" s="201"/>
      <c r="O174" s="219"/>
    </row>
    <row r="175" spans="2:19" ht="25.5" customHeight="1">
      <c r="B175" s="30"/>
      <c r="C175" s="28"/>
      <c r="D175" s="28"/>
      <c r="E175" s="28"/>
      <c r="F175" s="324"/>
      <c r="G175" s="325"/>
      <c r="H175" s="323"/>
      <c r="I175" s="301"/>
      <c r="J175" s="301"/>
      <c r="K175" s="326"/>
      <c r="L175" s="304"/>
      <c r="M175" s="304"/>
      <c r="N175" s="201"/>
      <c r="O175" s="219"/>
      <c r="P175" s="192"/>
      <c r="Q175" s="192"/>
    </row>
    <row r="176" spans="2:19" s="187" customFormat="1" ht="25.5" customHeight="1">
      <c r="B176" s="1140" t="s">
        <v>301</v>
      </c>
      <c r="C176" s="1140"/>
      <c r="D176" s="1140"/>
      <c r="E176" s="1140"/>
      <c r="F176" s="1140"/>
      <c r="G176" s="1140"/>
      <c r="H176" s="361"/>
      <c r="J176" s="189"/>
      <c r="K176" s="189"/>
      <c r="M176" s="304"/>
      <c r="N176" s="201"/>
      <c r="O176" s="219"/>
    </row>
    <row r="177" spans="2:22" s="187" customFormat="1" ht="25.5" customHeight="1">
      <c r="B177" s="1140"/>
      <c r="C177" s="1140"/>
      <c r="D177" s="1140"/>
      <c r="E177" s="1140"/>
      <c r="F177" s="1140"/>
      <c r="G177" s="1140"/>
      <c r="H177" s="361"/>
      <c r="J177" s="189"/>
      <c r="K177" s="189"/>
      <c r="M177" s="304"/>
      <c r="N177" s="201"/>
      <c r="O177" s="219"/>
    </row>
    <row r="178" spans="2:22" s="187" customFormat="1" ht="25.5" customHeight="1">
      <c r="B178" s="1140"/>
      <c r="C178" s="1140"/>
      <c r="D178" s="1140"/>
      <c r="E178" s="1140"/>
      <c r="F178" s="1140"/>
      <c r="G178" s="1140"/>
      <c r="H178" s="361"/>
      <c r="J178" s="189"/>
      <c r="K178" s="189"/>
      <c r="M178" s="304"/>
      <c r="N178" s="201"/>
      <c r="O178" s="219"/>
    </row>
    <row r="179" spans="2:22" s="187" customFormat="1" ht="25.5" customHeight="1">
      <c r="B179" s="1147" t="s">
        <v>286</v>
      </c>
      <c r="C179" s="1147"/>
      <c r="D179" s="1147"/>
      <c r="E179" s="1147"/>
      <c r="F179" s="1147"/>
      <c r="H179" s="361"/>
      <c r="J179" s="189"/>
      <c r="K179" s="189"/>
      <c r="M179" s="304"/>
      <c r="N179" s="201"/>
      <c r="O179" s="219"/>
    </row>
    <row r="180" spans="2:22" s="187" customFormat="1" ht="25.5" customHeight="1">
      <c r="B180" s="1125"/>
      <c r="C180" s="1125"/>
      <c r="D180" s="1125"/>
      <c r="E180" s="1125"/>
      <c r="F180" s="1125"/>
      <c r="G180" s="194"/>
      <c r="H180" s="195"/>
      <c r="I180" s="194"/>
      <c r="J180" s="196"/>
      <c r="K180" s="197"/>
      <c r="L180" s="194"/>
      <c r="M180" s="304"/>
      <c r="N180" s="201"/>
      <c r="O180" s="219"/>
    </row>
    <row r="181" spans="2:22" s="187" customFormat="1" ht="25.5" customHeight="1">
      <c r="B181" s="140"/>
      <c r="C181" s="140"/>
      <c r="D181" s="140"/>
      <c r="E181" s="140"/>
      <c r="F181" s="576"/>
      <c r="G181" s="194"/>
      <c r="H181" s="195"/>
      <c r="I181" s="194"/>
      <c r="J181" s="196"/>
      <c r="K181" s="197"/>
      <c r="L181" s="194"/>
      <c r="M181" s="304"/>
      <c r="N181" s="201"/>
      <c r="O181" s="219"/>
    </row>
    <row r="182" spans="2:22" ht="25.5" customHeight="1">
      <c r="B182" s="447" t="s">
        <v>152</v>
      </c>
      <c r="C182" s="15"/>
      <c r="D182" s="15"/>
      <c r="F182" s="212"/>
      <c r="G182" s="212"/>
      <c r="H182" s="212"/>
      <c r="I182" s="212"/>
      <c r="J182" s="212"/>
      <c r="K182" s="212"/>
      <c r="L182" s="212"/>
      <c r="M182" s="202"/>
      <c r="N182" s="301"/>
      <c r="O182" s="219"/>
      <c r="Q182" s="304"/>
      <c r="R182" s="304"/>
      <c r="S182" s="201"/>
      <c r="U182" s="192"/>
      <c r="V182" s="192"/>
    </row>
    <row r="183" spans="2:22" ht="25.5" customHeight="1">
      <c r="B183" s="510" t="s">
        <v>208</v>
      </c>
      <c r="C183" s="25"/>
      <c r="D183" s="25" t="s">
        <v>277</v>
      </c>
      <c r="E183" s="139"/>
      <c r="F183" s="284"/>
      <c r="G183" s="583"/>
      <c r="H183" s="583"/>
      <c r="I183" s="583"/>
      <c r="J183" s="583"/>
      <c r="K183" s="337" t="s">
        <v>302</v>
      </c>
      <c r="L183" s="337"/>
      <c r="M183" s="583" t="s">
        <v>92</v>
      </c>
      <c r="N183" s="301"/>
      <c r="O183" s="219"/>
      <c r="Q183" s="304"/>
      <c r="R183" s="304"/>
      <c r="S183" s="201"/>
      <c r="U183" s="192"/>
      <c r="V183" s="192"/>
    </row>
    <row r="184" spans="2:22" ht="25.5" customHeight="1">
      <c r="B184" s="141" t="s">
        <v>153</v>
      </c>
      <c r="C184" s="136"/>
      <c r="D184" s="32" t="s">
        <v>154</v>
      </c>
      <c r="E184" s="42"/>
      <c r="F184" s="340"/>
      <c r="G184" s="341"/>
      <c r="H184" s="341"/>
      <c r="I184" s="341"/>
      <c r="J184" s="341"/>
      <c r="K184" s="350" t="s">
        <v>94</v>
      </c>
      <c r="L184" s="350"/>
      <c r="M184" s="476">
        <v>0</v>
      </c>
      <c r="N184" s="301"/>
      <c r="O184" s="219"/>
      <c r="Q184" s="304"/>
      <c r="R184" s="304"/>
      <c r="S184" s="201"/>
      <c r="U184" s="192"/>
      <c r="V184" s="192"/>
    </row>
    <row r="185" spans="2:22" ht="25.5" customHeight="1">
      <c r="B185" s="144" t="s">
        <v>155</v>
      </c>
      <c r="C185" s="137"/>
      <c r="D185" s="40" t="s">
        <v>156</v>
      </c>
      <c r="E185" s="33"/>
      <c r="F185" s="343"/>
      <c r="G185" s="344"/>
      <c r="H185" s="344"/>
      <c r="I185" s="344"/>
      <c r="J185" s="344"/>
      <c r="K185" s="348" t="s">
        <v>246</v>
      </c>
      <c r="L185" s="348"/>
      <c r="M185" s="475" t="s">
        <v>247</v>
      </c>
      <c r="N185" s="301"/>
      <c r="O185" s="219"/>
      <c r="Q185" s="304"/>
      <c r="R185" s="304"/>
      <c r="S185" s="201"/>
      <c r="U185" s="192"/>
      <c r="V185" s="192"/>
    </row>
    <row r="186" spans="2:22" ht="25.5" customHeight="1">
      <c r="B186" s="141" t="s">
        <v>159</v>
      </c>
      <c r="C186" s="136"/>
      <c r="D186" s="32" t="s">
        <v>160</v>
      </c>
      <c r="E186" s="42"/>
      <c r="F186" s="340"/>
      <c r="G186" s="341"/>
      <c r="H186" s="341"/>
      <c r="I186" s="341"/>
      <c r="J186" s="341"/>
      <c r="K186" s="342" t="s">
        <v>303</v>
      </c>
      <c r="L186" s="342"/>
      <c r="M186" s="476" t="s">
        <v>304</v>
      </c>
      <c r="N186" s="301"/>
      <c r="O186" s="219"/>
      <c r="Q186" s="304"/>
      <c r="R186" s="304"/>
      <c r="S186" s="201"/>
      <c r="U186" s="192"/>
      <c r="V186" s="192"/>
    </row>
    <row r="187" spans="2:22" ht="25.5" customHeight="1">
      <c r="B187" s="109"/>
      <c r="C187" s="106"/>
      <c r="D187" s="428" t="s">
        <v>250</v>
      </c>
      <c r="E187" s="108"/>
      <c r="F187" s="356"/>
      <c r="G187" s="357"/>
      <c r="H187" s="357"/>
      <c r="I187" s="357"/>
      <c r="J187" s="357"/>
      <c r="K187" s="358"/>
      <c r="L187" s="358"/>
      <c r="M187" s="359"/>
      <c r="N187" s="301"/>
      <c r="O187" s="219"/>
      <c r="P187" s="304"/>
      <c r="Q187" s="304"/>
      <c r="R187" s="304"/>
      <c r="S187" s="201"/>
      <c r="U187" s="192"/>
      <c r="V187" s="192"/>
    </row>
    <row r="188" spans="2:22" ht="25.5" customHeight="1">
      <c r="B188" s="144"/>
      <c r="C188" s="137"/>
      <c r="D188" s="40"/>
      <c r="E188" s="33"/>
      <c r="F188" s="343"/>
      <c r="G188" s="344"/>
      <c r="H188" s="344"/>
      <c r="I188" s="344"/>
      <c r="J188" s="344"/>
      <c r="K188" s="348"/>
      <c r="L188" s="348"/>
      <c r="M188" s="591"/>
      <c r="N188" s="301"/>
      <c r="O188" s="219"/>
      <c r="P188" s="304"/>
      <c r="Q188" s="304"/>
      <c r="R188" s="304"/>
      <c r="S188" s="201"/>
      <c r="U188" s="192"/>
      <c r="V188" s="192"/>
    </row>
    <row r="189" spans="2:22" ht="25.5" customHeight="1">
      <c r="B189" s="447" t="s">
        <v>305</v>
      </c>
      <c r="C189" s="15"/>
      <c r="D189" s="15"/>
      <c r="F189" s="212"/>
      <c r="G189" s="212"/>
      <c r="H189" s="212"/>
      <c r="I189" s="212"/>
      <c r="J189" s="212"/>
      <c r="K189" s="353"/>
      <c r="L189" s="353"/>
      <c r="M189" s="202"/>
      <c r="N189" s="301"/>
      <c r="O189" s="219"/>
      <c r="Q189" s="304"/>
      <c r="R189" s="304"/>
      <c r="S189" s="201"/>
      <c r="U189" s="192"/>
      <c r="V189" s="192"/>
    </row>
    <row r="190" spans="2:22" ht="25.5" customHeight="1">
      <c r="B190" s="510" t="s">
        <v>208</v>
      </c>
      <c r="C190" s="25"/>
      <c r="D190" s="25" t="s">
        <v>277</v>
      </c>
      <c r="E190" s="139"/>
      <c r="F190" s="284"/>
      <c r="G190" s="583"/>
      <c r="H190" s="583"/>
      <c r="I190" s="583"/>
      <c r="J190" s="583"/>
      <c r="K190" s="337" t="s">
        <v>302</v>
      </c>
      <c r="L190" s="337"/>
      <c r="M190" s="583" t="s">
        <v>92</v>
      </c>
      <c r="N190" s="301"/>
      <c r="O190" s="219"/>
      <c r="Q190" s="304"/>
      <c r="R190" s="304"/>
      <c r="S190" s="201"/>
      <c r="U190" s="192"/>
      <c r="V190" s="192"/>
    </row>
    <row r="191" spans="2:22" ht="25.5" customHeight="1">
      <c r="B191" s="141" t="s">
        <v>165</v>
      </c>
      <c r="C191" s="136"/>
      <c r="D191" s="32" t="s">
        <v>166</v>
      </c>
      <c r="E191" s="42"/>
      <c r="F191" s="340"/>
      <c r="G191" s="341"/>
      <c r="H191" s="341"/>
      <c r="I191" s="341"/>
      <c r="J191" s="341"/>
      <c r="K191" s="342" t="s">
        <v>303</v>
      </c>
      <c r="L191" s="342"/>
      <c r="M191" s="466">
        <f>PS_consult.jun_SEK</f>
        <v>1127</v>
      </c>
      <c r="N191" s="301"/>
      <c r="O191" s="219"/>
      <c r="Q191" s="304"/>
      <c r="R191" s="304"/>
      <c r="S191" s="201"/>
      <c r="U191" s="192"/>
      <c r="V191" s="192"/>
    </row>
    <row r="192" spans="2:22" ht="25.5" customHeight="1">
      <c r="B192" s="144" t="s">
        <v>167</v>
      </c>
      <c r="C192" s="137"/>
      <c r="D192" s="40" t="s">
        <v>168</v>
      </c>
      <c r="E192" s="33"/>
      <c r="F192" s="343"/>
      <c r="G192" s="344"/>
      <c r="H192" s="344"/>
      <c r="I192" s="344"/>
      <c r="J192" s="344"/>
      <c r="K192" s="348" t="s">
        <v>303</v>
      </c>
      <c r="L192" s="348"/>
      <c r="M192" s="467">
        <f>PS_consult.sen_SEK</f>
        <v>1374</v>
      </c>
      <c r="N192" s="301"/>
      <c r="O192" s="219"/>
      <c r="Q192" s="304"/>
      <c r="R192" s="304"/>
      <c r="S192" s="201"/>
      <c r="U192" s="192"/>
      <c r="V192" s="192"/>
    </row>
    <row r="193" spans="1:22" ht="25.5" customHeight="1">
      <c r="B193" s="141" t="s">
        <v>169</v>
      </c>
      <c r="C193" s="136"/>
      <c r="D193" s="32" t="s">
        <v>170</v>
      </c>
      <c r="E193" s="42"/>
      <c r="F193" s="340"/>
      <c r="G193" s="341"/>
      <c r="H193" s="341"/>
      <c r="I193" s="341"/>
      <c r="J193" s="341"/>
      <c r="K193" s="342" t="s">
        <v>303</v>
      </c>
      <c r="L193" s="342"/>
      <c r="M193" s="466">
        <f>PS_cloudarch.jun_SEK</f>
        <v>1277</v>
      </c>
      <c r="N193" s="301"/>
      <c r="O193" s="219"/>
      <c r="Q193" s="304"/>
      <c r="R193" s="304"/>
      <c r="S193" s="201"/>
      <c r="U193" s="192"/>
      <c r="V193" s="192"/>
    </row>
    <row r="194" spans="1:22" ht="25.5" customHeight="1">
      <c r="B194" s="144" t="s">
        <v>171</v>
      </c>
      <c r="C194" s="137"/>
      <c r="D194" s="40" t="s">
        <v>172</v>
      </c>
      <c r="E194" s="40"/>
      <c r="F194" s="355"/>
      <c r="G194" s="344"/>
      <c r="H194" s="344"/>
      <c r="I194" s="344"/>
      <c r="J194" s="344"/>
      <c r="K194" s="348" t="s">
        <v>303</v>
      </c>
      <c r="L194" s="348"/>
      <c r="M194" s="467">
        <f>PS_cloudarch.sen_SEK</f>
        <v>1374</v>
      </c>
      <c r="N194" s="301"/>
      <c r="O194" s="219"/>
      <c r="Q194" s="304"/>
      <c r="R194" s="304"/>
      <c r="S194" s="201"/>
      <c r="U194" s="192"/>
      <c r="V194" s="192"/>
    </row>
    <row r="195" spans="1:22" ht="25.5" customHeight="1">
      <c r="B195" s="141" t="s">
        <v>173</v>
      </c>
      <c r="C195" s="136"/>
      <c r="D195" s="32" t="s">
        <v>174</v>
      </c>
      <c r="E195" s="42"/>
      <c r="F195" s="340"/>
      <c r="G195" s="341"/>
      <c r="H195" s="341"/>
      <c r="I195" s="341"/>
      <c r="J195" s="341"/>
      <c r="K195" s="342" t="s">
        <v>303</v>
      </c>
      <c r="L195" s="342"/>
      <c r="M195" s="466">
        <f>PS_pm.jun_SEK</f>
        <v>1139</v>
      </c>
      <c r="N195" s="301"/>
      <c r="O195" s="219"/>
      <c r="Q195" s="304"/>
      <c r="R195" s="304"/>
      <c r="S195" s="201"/>
      <c r="U195" s="192"/>
      <c r="V195" s="192"/>
    </row>
    <row r="196" spans="1:22" ht="25.5" customHeight="1">
      <c r="B196" s="144" t="s">
        <v>175</v>
      </c>
      <c r="C196" s="137"/>
      <c r="D196" s="40" t="s">
        <v>176</v>
      </c>
      <c r="E196" s="33"/>
      <c r="F196" s="343"/>
      <c r="G196" s="344"/>
      <c r="H196" s="344"/>
      <c r="I196" s="344"/>
      <c r="J196" s="344"/>
      <c r="K196" s="348" t="s">
        <v>303</v>
      </c>
      <c r="L196" s="348"/>
      <c r="M196" s="467">
        <f>PS_pm.sen_SEK</f>
        <v>1374</v>
      </c>
      <c r="N196" s="301"/>
      <c r="O196" s="219"/>
      <c r="Q196" s="304"/>
      <c r="R196" s="304"/>
      <c r="S196" s="201"/>
      <c r="U196" s="192"/>
      <c r="V196" s="192"/>
    </row>
    <row r="197" spans="1:22" ht="25.5" customHeight="1">
      <c r="B197" s="109"/>
      <c r="C197" s="106"/>
      <c r="D197" s="428"/>
      <c r="E197" s="108"/>
      <c r="F197" s="356"/>
      <c r="G197" s="357"/>
      <c r="H197" s="357"/>
      <c r="I197" s="357"/>
      <c r="J197" s="357"/>
      <c r="K197" s="358"/>
      <c r="L197" s="358"/>
      <c r="M197" s="359"/>
      <c r="N197" s="301"/>
      <c r="O197" s="219"/>
      <c r="P197" s="304"/>
      <c r="Q197" s="304"/>
      <c r="R197" s="304"/>
      <c r="S197" s="201"/>
      <c r="U197" s="192"/>
      <c r="V197" s="192"/>
    </row>
    <row r="198" spans="1:22" ht="25.5" customHeight="1">
      <c r="B198" s="137"/>
      <c r="C198" s="137"/>
      <c r="D198" s="40"/>
      <c r="E198" s="33"/>
      <c r="F198" s="343"/>
      <c r="G198" s="344"/>
      <c r="H198" s="344"/>
      <c r="I198" s="344"/>
      <c r="J198" s="344"/>
      <c r="K198" s="348"/>
      <c r="L198" s="348"/>
      <c r="M198" s="591"/>
      <c r="N198" s="168"/>
      <c r="O198" s="219"/>
      <c r="P198" s="168"/>
      <c r="Q198" s="349"/>
      <c r="R198" s="304"/>
      <c r="S198" s="201"/>
    </row>
    <row r="199" spans="1:22" ht="25.5" customHeight="1">
      <c r="B199" s="447" t="s">
        <v>306</v>
      </c>
      <c r="C199" s="15"/>
      <c r="D199" s="15"/>
      <c r="F199" s="212"/>
      <c r="G199" s="212"/>
      <c r="H199" s="212"/>
      <c r="I199" s="212"/>
      <c r="J199" s="212"/>
      <c r="K199" s="353"/>
      <c r="L199" s="353"/>
      <c r="M199" s="202"/>
      <c r="N199" s="301"/>
      <c r="O199" s="219"/>
      <c r="Q199" s="304"/>
      <c r="R199" s="304"/>
      <c r="S199" s="201"/>
      <c r="U199" s="192"/>
      <c r="V199" s="192"/>
    </row>
    <row r="200" spans="1:22" ht="25.5" customHeight="1">
      <c r="B200" s="510" t="s">
        <v>208</v>
      </c>
      <c r="C200" s="25"/>
      <c r="D200" s="25" t="s">
        <v>277</v>
      </c>
      <c r="E200" s="139"/>
      <c r="F200" s="284"/>
      <c r="G200" s="337" t="s">
        <v>307</v>
      </c>
      <c r="H200" s="337"/>
      <c r="I200" s="337"/>
      <c r="J200" s="337"/>
      <c r="K200" s="337" t="s">
        <v>302</v>
      </c>
      <c r="L200" s="337"/>
      <c r="M200" s="583" t="s">
        <v>92</v>
      </c>
      <c r="N200" s="301"/>
      <c r="O200" s="219"/>
      <c r="Q200" s="304"/>
      <c r="R200" s="304"/>
      <c r="S200" s="201"/>
      <c r="U200" s="192"/>
      <c r="V200" s="192"/>
    </row>
    <row r="201" spans="1:22" ht="25.5" customHeight="1">
      <c r="B201" s="141" t="s">
        <v>180</v>
      </c>
      <c r="C201" s="136"/>
      <c r="D201" s="32" t="s">
        <v>308</v>
      </c>
      <c r="E201" s="42"/>
      <c r="F201" s="340"/>
      <c r="G201" s="342" t="s">
        <v>255</v>
      </c>
      <c r="H201" s="342"/>
      <c r="I201" s="342"/>
      <c r="J201" s="342"/>
      <c r="K201" s="342" t="s">
        <v>309</v>
      </c>
      <c r="L201" s="342"/>
      <c r="M201" s="476" t="s">
        <v>310</v>
      </c>
      <c r="N201" s="301"/>
      <c r="O201" s="219"/>
      <c r="Q201" s="304"/>
      <c r="R201" s="304"/>
      <c r="S201" s="201"/>
      <c r="U201" s="192"/>
      <c r="V201" s="192"/>
    </row>
    <row r="202" spans="1:22" ht="25.5" customHeight="1">
      <c r="B202" s="144" t="s">
        <v>184</v>
      </c>
      <c r="C202" s="137"/>
      <c r="D202" s="40" t="s">
        <v>311</v>
      </c>
      <c r="E202" s="33"/>
      <c r="F202" s="343"/>
      <c r="G202" s="348" t="s">
        <v>255</v>
      </c>
      <c r="H202" s="348"/>
      <c r="I202" s="348"/>
      <c r="J202" s="348"/>
      <c r="K202" s="348" t="s">
        <v>309</v>
      </c>
      <c r="L202" s="348"/>
      <c r="M202" s="475" t="s">
        <v>310</v>
      </c>
      <c r="N202" s="301"/>
      <c r="O202" s="219"/>
      <c r="Q202" s="304"/>
      <c r="R202" s="304"/>
      <c r="S202" s="201"/>
      <c r="U202" s="192"/>
      <c r="V202" s="192"/>
    </row>
    <row r="203" spans="1:22" ht="25.5" customHeight="1">
      <c r="B203" s="141" t="s">
        <v>186</v>
      </c>
      <c r="C203" s="136"/>
      <c r="D203" s="32" t="s">
        <v>312</v>
      </c>
      <c r="E203" s="42"/>
      <c r="F203" s="340"/>
      <c r="G203" s="342" t="s">
        <v>259</v>
      </c>
      <c r="H203" s="342"/>
      <c r="I203" s="342"/>
      <c r="J203" s="342"/>
      <c r="K203" s="342" t="s">
        <v>309</v>
      </c>
      <c r="L203" s="342"/>
      <c r="M203" s="476" t="s">
        <v>310</v>
      </c>
      <c r="N203" s="301"/>
      <c r="O203" s="219"/>
      <c r="Q203" s="304"/>
      <c r="R203" s="304"/>
      <c r="S203" s="201"/>
      <c r="U203" s="192"/>
      <c r="V203" s="192"/>
    </row>
    <row r="204" spans="1:22" ht="25.5" customHeight="1">
      <c r="B204" s="144" t="s">
        <v>189</v>
      </c>
      <c r="C204" s="137"/>
      <c r="D204" s="40" t="s">
        <v>313</v>
      </c>
      <c r="E204" s="33"/>
      <c r="F204" s="343"/>
      <c r="G204" s="348" t="s">
        <v>259</v>
      </c>
      <c r="H204" s="348"/>
      <c r="I204" s="348"/>
      <c r="J204" s="348"/>
      <c r="K204" s="348" t="s">
        <v>309</v>
      </c>
      <c r="L204" s="348"/>
      <c r="M204" s="475" t="s">
        <v>310</v>
      </c>
      <c r="N204" s="301"/>
      <c r="O204" s="219"/>
      <c r="Q204" s="304"/>
      <c r="R204" s="304"/>
      <c r="S204" s="201"/>
      <c r="U204" s="192"/>
      <c r="V204" s="192"/>
    </row>
    <row r="205" spans="1:22" ht="25.5" customHeight="1">
      <c r="B205" s="106"/>
      <c r="C205" s="106"/>
      <c r="D205" s="428"/>
      <c r="E205" s="108"/>
      <c r="F205" s="356"/>
      <c r="G205" s="357"/>
      <c r="H205" s="357"/>
      <c r="I205" s="357"/>
      <c r="J205" s="357"/>
      <c r="K205" s="357"/>
      <c r="L205" s="357"/>
      <c r="M205" s="359"/>
      <c r="N205" s="301"/>
      <c r="O205" s="219"/>
      <c r="P205" s="304"/>
      <c r="Q205" s="304"/>
      <c r="R205" s="304"/>
      <c r="S205" s="201"/>
      <c r="U205" s="192"/>
      <c r="V205" s="192"/>
    </row>
    <row r="206" spans="1:22" ht="25.5" customHeight="1">
      <c r="B206" s="30"/>
      <c r="C206" s="28"/>
      <c r="D206" s="28"/>
      <c r="E206" s="28"/>
      <c r="F206" s="324"/>
      <c r="G206" s="325"/>
      <c r="H206" s="301"/>
      <c r="I206" s="301"/>
      <c r="J206" s="301"/>
      <c r="K206" s="326"/>
      <c r="L206" s="304"/>
      <c r="M206" s="304"/>
      <c r="N206" s="201"/>
      <c r="O206" s="219"/>
      <c r="P206" s="192"/>
      <c r="Q206" s="192"/>
    </row>
    <row r="207" spans="1:22" ht="25.5" customHeight="1">
      <c r="A207" s="362"/>
      <c r="B207" s="68"/>
      <c r="C207" s="62"/>
      <c r="D207" s="62"/>
      <c r="E207" s="62"/>
      <c r="F207" s="363"/>
      <c r="G207" s="364"/>
      <c r="H207" s="365"/>
      <c r="I207" s="365"/>
      <c r="J207" s="366"/>
      <c r="K207" s="367"/>
      <c r="L207" s="367"/>
      <c r="M207" s="367"/>
      <c r="N207" s="368"/>
      <c r="O207" s="219"/>
      <c r="P207" s="192"/>
      <c r="Q207" s="192"/>
    </row>
    <row r="208" spans="1:22" s="187" customFormat="1" ht="25.5" customHeight="1">
      <c r="A208" s="169"/>
      <c r="B208" s="56"/>
      <c r="C208" s="56"/>
      <c r="D208" s="56"/>
      <c r="E208" s="56"/>
      <c r="F208" s="369"/>
      <c r="G208" s="370"/>
      <c r="H208" s="371"/>
      <c r="I208" s="371"/>
      <c r="J208" s="372"/>
      <c r="K208" s="373"/>
      <c r="L208" s="373"/>
      <c r="M208" s="373"/>
      <c r="N208" s="169"/>
      <c r="O208" s="191"/>
    </row>
    <row r="209" spans="1:22" s="187" customFormat="1" ht="25.5" customHeight="1">
      <c r="A209" s="169"/>
      <c r="B209" s="56"/>
      <c r="C209" s="56"/>
      <c r="D209" s="56"/>
      <c r="E209" s="56"/>
      <c r="F209" s="369"/>
      <c r="G209" s="370"/>
      <c r="H209" s="371"/>
      <c r="I209" s="371"/>
      <c r="J209" s="372"/>
      <c r="K209" s="373"/>
      <c r="L209" s="373"/>
      <c r="M209" s="373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69"/>
      <c r="G210" s="370"/>
      <c r="H210" s="371"/>
      <c r="I210" s="371"/>
      <c r="J210" s="372"/>
      <c r="K210" s="373"/>
      <c r="L210" s="373"/>
      <c r="M210" s="373"/>
      <c r="N210" s="169"/>
      <c r="O210" s="191"/>
    </row>
    <row r="211" spans="1:22" s="187" customFormat="1" ht="25.5" customHeight="1">
      <c r="A211" s="169"/>
      <c r="B211" s="1156" t="s">
        <v>314</v>
      </c>
      <c r="C211" s="1156"/>
      <c r="D211" s="1156"/>
      <c r="E211" s="1156"/>
      <c r="F211" s="1156"/>
      <c r="G211" s="1156"/>
      <c r="H211" s="172"/>
      <c r="I211" s="169"/>
      <c r="J211" s="173"/>
      <c r="K211" s="169"/>
      <c r="L211" s="174"/>
      <c r="M211" s="174"/>
      <c r="N211" s="169"/>
      <c r="O211" s="191"/>
    </row>
    <row r="212" spans="1:22" s="187" customFormat="1" ht="25.5" customHeight="1">
      <c r="A212" s="169"/>
      <c r="B212" s="1156"/>
      <c r="C212" s="1156"/>
      <c r="D212" s="1156"/>
      <c r="E212" s="1156"/>
      <c r="F212" s="1156"/>
      <c r="G212" s="1156"/>
      <c r="H212" s="172"/>
      <c r="I212" s="169"/>
      <c r="J212" s="173"/>
      <c r="K212" s="169"/>
      <c r="L212" s="174"/>
      <c r="M212" s="174"/>
      <c r="N212" s="169"/>
      <c r="O212" s="191"/>
    </row>
    <row r="213" spans="1:22" s="187" customFormat="1" ht="25.5" customHeight="1">
      <c r="A213" s="169"/>
      <c r="B213" s="1156"/>
      <c r="C213" s="1156"/>
      <c r="D213" s="1156"/>
      <c r="E213" s="1156"/>
      <c r="F213" s="1156"/>
      <c r="G213" s="1156"/>
      <c r="H213" s="172"/>
      <c r="I213" s="169"/>
      <c r="J213" s="173"/>
      <c r="K213" s="169"/>
      <c r="L213" s="174"/>
      <c r="M213" s="174"/>
      <c r="N213" s="169"/>
      <c r="O213" s="191"/>
    </row>
    <row r="214" spans="1:22" s="187" customFormat="1" ht="25.5" customHeight="1">
      <c r="A214" s="169"/>
      <c r="B214" s="1179" t="s">
        <v>315</v>
      </c>
      <c r="C214" s="1179"/>
      <c r="D214" s="1179"/>
      <c r="E214" s="1179"/>
      <c r="F214" s="1179"/>
      <c r="G214" s="169"/>
      <c r="H214" s="172"/>
      <c r="I214" s="169"/>
      <c r="J214" s="173"/>
      <c r="K214" s="169"/>
      <c r="L214" s="174"/>
      <c r="M214" s="174"/>
      <c r="N214" s="374"/>
      <c r="O214" s="199"/>
    </row>
    <row r="215" spans="1:22" s="187" customFormat="1" ht="25.5" customHeight="1">
      <c r="A215" s="169"/>
      <c r="B215" s="64"/>
      <c r="C215" s="64"/>
      <c r="D215" s="64"/>
      <c r="E215" s="64"/>
      <c r="F215" s="170"/>
      <c r="G215" s="169"/>
      <c r="H215" s="172"/>
      <c r="I215" s="169"/>
      <c r="J215" s="173"/>
      <c r="K215" s="169"/>
      <c r="L215" s="174"/>
      <c r="M215" s="174"/>
      <c r="N215" s="374"/>
      <c r="O215" s="199"/>
    </row>
    <row r="216" spans="1:22" s="187" customFormat="1" ht="25.5" customHeight="1">
      <c r="A216" s="169"/>
      <c r="B216" s="70" t="s">
        <v>316</v>
      </c>
      <c r="C216" s="64"/>
      <c r="D216" s="64"/>
      <c r="E216" s="64"/>
      <c r="F216" s="170"/>
      <c r="G216" s="169"/>
      <c r="H216" s="172"/>
      <c r="I216" s="169"/>
      <c r="J216" s="173"/>
      <c r="K216" s="169"/>
      <c r="L216" s="174"/>
      <c r="M216" s="174"/>
      <c r="N216" s="374"/>
      <c r="O216" s="199"/>
    </row>
    <row r="217" spans="1:22" s="187" customFormat="1" ht="25.5" customHeight="1">
      <c r="A217" s="169"/>
      <c r="B217" s="449" t="s">
        <v>442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174"/>
      <c r="N217" s="374"/>
      <c r="O217" s="199"/>
    </row>
    <row r="218" spans="1:22" s="187" customFormat="1" ht="25.5" customHeight="1">
      <c r="A218" s="169"/>
      <c r="B218" s="71" t="s">
        <v>193</v>
      </c>
      <c r="C218" s="69"/>
      <c r="D218" s="69"/>
      <c r="E218" s="69"/>
      <c r="F218" s="375"/>
      <c r="G218" s="374"/>
      <c r="H218" s="376"/>
      <c r="I218" s="374"/>
      <c r="J218" s="378"/>
      <c r="K218" s="374"/>
      <c r="L218" s="379"/>
      <c r="M218" s="379"/>
      <c r="N218" s="374"/>
      <c r="O218" s="199"/>
    </row>
    <row r="219" spans="1:22" s="261" customFormat="1" ht="25.5" customHeight="1">
      <c r="A219" s="380"/>
      <c r="B219" s="142"/>
      <c r="C219" s="142"/>
      <c r="D219" s="142"/>
      <c r="E219" s="142"/>
      <c r="F219" s="587"/>
      <c r="G219" s="374"/>
      <c r="H219" s="376"/>
      <c r="I219" s="374"/>
      <c r="J219" s="378"/>
      <c r="K219" s="374"/>
      <c r="L219" s="379"/>
      <c r="M219" s="379"/>
      <c r="N219" s="380"/>
      <c r="O219" s="316"/>
      <c r="P219" s="381"/>
      <c r="Q219" s="287"/>
      <c r="R219" s="287"/>
      <c r="S219" s="287"/>
      <c r="T219" s="287"/>
      <c r="U219" s="287"/>
      <c r="V219" s="287"/>
    </row>
    <row r="220" spans="1:22" ht="25.5" customHeight="1">
      <c r="A220" s="382"/>
      <c r="B220" s="57" t="s">
        <v>317</v>
      </c>
      <c r="C220" s="58"/>
      <c r="D220" s="59"/>
      <c r="E220" s="58"/>
      <c r="F220" s="384"/>
      <c r="G220" s="384"/>
      <c r="H220" s="384"/>
      <c r="I220" s="384"/>
      <c r="J220" s="383"/>
      <c r="K220" s="383"/>
      <c r="L220" s="384" t="s">
        <v>314</v>
      </c>
      <c r="M220" s="385"/>
      <c r="N220" s="386"/>
      <c r="O220" s="205"/>
      <c r="P220" s="336"/>
    </row>
    <row r="221" spans="1:22" ht="25.5" customHeight="1">
      <c r="A221" s="382"/>
      <c r="B221" s="597" t="s">
        <v>196</v>
      </c>
      <c r="C221" s="649" t="str">
        <f>SUM(C67+C38)&amp;" vCPU"</f>
        <v>0 vCPU</v>
      </c>
      <c r="D221" s="649" t="str">
        <f>SUM(D38+D67)&amp;" GB RAM"</f>
        <v>0 GB RAM</v>
      </c>
      <c r="E221" s="649" t="str">
        <f>SUM(E38)&amp;" GB  Disk"</f>
        <v>0 GB  Disk</v>
      </c>
      <c r="F221" s="1180" t="str">
        <f>SUM(E67)&amp;" GB NVME-Disk"</f>
        <v>0 GB NVME-Disk</v>
      </c>
      <c r="G221" s="1180"/>
      <c r="H221" s="388"/>
      <c r="I221" s="388"/>
      <c r="J221" s="389"/>
      <c r="K221" s="389"/>
      <c r="L221" s="390">
        <f>L76+L84+K67+K38+K91</f>
        <v>0</v>
      </c>
      <c r="M221" s="293"/>
      <c r="N221" s="382"/>
      <c r="O221" s="205"/>
      <c r="P221" s="336"/>
    </row>
    <row r="222" spans="1:22" ht="25.5" customHeight="1">
      <c r="A222" s="382"/>
      <c r="B222" s="598" t="s">
        <v>197</v>
      </c>
      <c r="C222" s="598"/>
      <c r="D222" s="74"/>
      <c r="E222" s="75"/>
      <c r="F222" s="391"/>
      <c r="G222" s="392"/>
      <c r="H222" s="392"/>
      <c r="I222" s="392"/>
      <c r="J222" s="393"/>
      <c r="K222" s="393"/>
      <c r="L222" s="394">
        <f>M112</f>
        <v>0</v>
      </c>
      <c r="M222" s="293"/>
      <c r="N222" s="382"/>
      <c r="O222" s="205"/>
      <c r="P222" s="336"/>
    </row>
    <row r="223" spans="1:22" ht="25.5" customHeight="1">
      <c r="A223" s="382"/>
      <c r="B223" s="143" t="s">
        <v>198</v>
      </c>
      <c r="C223" s="143"/>
      <c r="D223" s="74"/>
      <c r="E223" s="75"/>
      <c r="F223" s="391"/>
      <c r="G223" s="392"/>
      <c r="H223" s="392"/>
      <c r="I223" s="392"/>
      <c r="J223" s="393"/>
      <c r="K223" s="393"/>
      <c r="L223" s="394">
        <f>M127</f>
        <v>0</v>
      </c>
      <c r="M223" s="293"/>
      <c r="N223" s="382"/>
      <c r="O223" s="205"/>
      <c r="P223" s="336"/>
    </row>
    <row r="224" spans="1:22" s="397" customFormat="1" ht="25.5" customHeight="1">
      <c r="A224" s="395"/>
      <c r="B224" s="517"/>
      <c r="C224" s="517"/>
      <c r="D224" s="35"/>
      <c r="E224" s="36"/>
      <c r="F224" s="333"/>
      <c r="G224" s="592"/>
      <c r="H224" s="592"/>
      <c r="I224" s="592"/>
      <c r="J224" s="319"/>
      <c r="K224" s="319"/>
      <c r="L224" s="321"/>
      <c r="M224" s="293"/>
      <c r="N224" s="395"/>
      <c r="O224" s="396"/>
    </row>
    <row r="225" spans="1:23" ht="25.5" customHeight="1">
      <c r="A225" s="382"/>
      <c r="B225" s="60" t="s">
        <v>85</v>
      </c>
      <c r="C225" s="61"/>
      <c r="D225" s="61"/>
      <c r="E225" s="61"/>
      <c r="F225" s="398"/>
      <c r="G225" s="399"/>
      <c r="H225" s="399"/>
      <c r="I225" s="399"/>
      <c r="J225" s="609"/>
      <c r="K225" s="609"/>
      <c r="L225" s="609">
        <f t="shared" ref="L225" si="15">SUM(O221:O224)</f>
        <v>0</v>
      </c>
      <c r="M225" s="400"/>
      <c r="N225" s="382"/>
      <c r="O225" s="205"/>
    </row>
    <row r="226" spans="1:23" ht="25.5" customHeight="1">
      <c r="A226" s="382"/>
      <c r="B226" s="60"/>
      <c r="C226" s="61"/>
      <c r="D226" s="61"/>
      <c r="E226" s="61"/>
      <c r="F226" s="398"/>
      <c r="G226" s="399"/>
      <c r="H226" s="399"/>
      <c r="I226" s="399"/>
      <c r="J226" s="400"/>
      <c r="K226" s="400"/>
      <c r="L226" s="400"/>
      <c r="M226" s="400"/>
      <c r="N226" s="382"/>
      <c r="O226" s="205"/>
    </row>
    <row r="227" spans="1:23" ht="25.5" customHeight="1">
      <c r="A227" s="382"/>
      <c r="B227" s="32"/>
      <c r="C227" s="32"/>
      <c r="D227" s="38"/>
      <c r="E227" s="39"/>
      <c r="F227" s="341"/>
      <c r="G227" s="590"/>
      <c r="H227" s="340"/>
      <c r="I227" s="291"/>
      <c r="J227" s="291"/>
      <c r="K227" s="402"/>
      <c r="L227" s="293"/>
      <c r="M227" s="293"/>
      <c r="N227" s="382"/>
      <c r="O227" s="205"/>
    </row>
    <row r="228" spans="1:23" ht="25.5" customHeight="1">
      <c r="A228" s="403"/>
      <c r="B228" s="44"/>
      <c r="C228" s="44"/>
      <c r="D228" s="35"/>
      <c r="E228" s="36"/>
      <c r="F228" s="405"/>
      <c r="G228" s="592"/>
      <c r="H228" s="404"/>
      <c r="I228" s="319"/>
      <c r="J228" s="319"/>
      <c r="K228" s="407"/>
      <c r="L228" s="321"/>
      <c r="M228" s="321"/>
      <c r="N228" s="408"/>
      <c r="O228" s="205"/>
    </row>
    <row r="229" spans="1:23" s="409" customFormat="1" ht="24" customHeight="1">
      <c r="B229" s="112"/>
      <c r="C229" s="112"/>
      <c r="D229" s="113"/>
      <c r="E229" s="114"/>
      <c r="F229" s="411"/>
      <c r="G229" s="412"/>
      <c r="H229" s="410"/>
      <c r="I229" s="413"/>
      <c r="J229" s="413"/>
      <c r="K229" s="415"/>
      <c r="L229" s="416"/>
      <c r="M229" s="416"/>
      <c r="N229" s="417"/>
    </row>
    <row r="230" spans="1:23" s="409" customFormat="1" ht="24" customHeight="1">
      <c r="B230" s="112"/>
      <c r="C230" s="112"/>
      <c r="D230" s="112"/>
      <c r="E230" s="112"/>
      <c r="F230" s="418"/>
      <c r="G230" s="419"/>
      <c r="H230" s="420"/>
      <c r="I230" s="420"/>
      <c r="J230" s="420"/>
      <c r="K230" s="421"/>
      <c r="L230" s="416"/>
      <c r="M230" s="416"/>
      <c r="N230" s="416"/>
      <c r="O230" s="417"/>
    </row>
    <row r="231" spans="1:23" s="409" customFormat="1" ht="24" customHeight="1">
      <c r="B231" s="112"/>
      <c r="C231" s="112"/>
      <c r="D231" s="112"/>
      <c r="E231" s="112"/>
      <c r="F231" s="418"/>
      <c r="G231" s="419"/>
      <c r="H231" s="420"/>
      <c r="I231" s="420"/>
      <c r="J231" s="420"/>
      <c r="K231" s="421"/>
      <c r="L231" s="416"/>
      <c r="M231" s="416"/>
      <c r="N231" s="416"/>
      <c r="O231" s="417"/>
    </row>
    <row r="232" spans="1:23" s="409" customFormat="1" ht="24" customHeight="1">
      <c r="B232" s="112"/>
      <c r="C232" s="112"/>
      <c r="D232" s="112"/>
      <c r="E232" s="112"/>
      <c r="F232" s="418"/>
      <c r="G232" s="419"/>
      <c r="H232" s="420"/>
      <c r="I232" s="420"/>
      <c r="J232" s="420"/>
      <c r="K232" s="421"/>
      <c r="L232" s="416"/>
      <c r="M232" s="416"/>
      <c r="N232" s="416"/>
      <c r="O232" s="417"/>
    </row>
    <row r="233" spans="1:23" s="409" customFormat="1" ht="24" customHeight="1">
      <c r="B233" s="112"/>
      <c r="C233" s="112"/>
      <c r="D233" s="112"/>
      <c r="E233" s="112"/>
      <c r="F233" s="418"/>
      <c r="G233" s="419"/>
      <c r="H233" s="420"/>
      <c r="I233" s="420"/>
      <c r="J233" s="420"/>
      <c r="K233" s="421"/>
      <c r="L233" s="416"/>
      <c r="M233" s="416"/>
      <c r="N233" s="416"/>
      <c r="O233" s="417"/>
    </row>
    <row r="234" spans="1:23" s="409" customFormat="1" ht="24" customHeight="1">
      <c r="B234" s="112"/>
      <c r="C234" s="112"/>
      <c r="D234" s="112"/>
      <c r="E234" s="112"/>
      <c r="F234" s="418"/>
      <c r="G234" s="419"/>
      <c r="H234" s="420"/>
      <c r="I234" s="420"/>
      <c r="J234" s="420"/>
      <c r="K234" s="421"/>
      <c r="L234" s="416"/>
      <c r="M234" s="416"/>
      <c r="N234" s="416"/>
      <c r="O234" s="417"/>
    </row>
    <row r="235" spans="1:23" s="409" customFormat="1" ht="24" customHeight="1">
      <c r="B235" s="112"/>
      <c r="C235" s="112"/>
      <c r="D235" s="112"/>
      <c r="E235" s="112"/>
      <c r="F235" s="418"/>
      <c r="G235" s="419"/>
      <c r="H235" s="420"/>
      <c r="I235" s="420"/>
      <c r="J235" s="420"/>
      <c r="K235" s="421"/>
      <c r="L235" s="416"/>
      <c r="M235" s="416"/>
      <c r="N235" s="416"/>
      <c r="O235" s="417"/>
    </row>
    <row r="236" spans="1:23" s="409" customFormat="1" ht="24" customHeight="1">
      <c r="B236" s="112"/>
      <c r="C236" s="112"/>
      <c r="D236" s="112"/>
      <c r="E236" s="112"/>
      <c r="F236" s="418"/>
      <c r="G236" s="419"/>
      <c r="H236" s="420"/>
      <c r="I236" s="420"/>
      <c r="J236" s="420"/>
      <c r="K236" s="421"/>
      <c r="L236" s="416"/>
      <c r="M236" s="416"/>
      <c r="N236" s="416"/>
      <c r="O236" s="417"/>
    </row>
    <row r="237" spans="1:23" s="409" customFormat="1" ht="24" customHeight="1">
      <c r="B237" s="112"/>
      <c r="C237" s="112"/>
      <c r="D237" s="112"/>
      <c r="E237" s="112"/>
      <c r="F237" s="418"/>
      <c r="G237" s="419"/>
      <c r="H237" s="420"/>
      <c r="I237" s="420"/>
      <c r="J237" s="420"/>
      <c r="K237" s="421"/>
      <c r="L237" s="416"/>
      <c r="M237" s="416"/>
      <c r="N237" s="416"/>
      <c r="O237" s="417"/>
    </row>
    <row r="238" spans="1:23" s="409" customFormat="1" ht="24" customHeight="1">
      <c r="B238" s="112"/>
      <c r="C238" s="112"/>
      <c r="D238" s="112"/>
      <c r="E238" s="112"/>
      <c r="F238" s="418"/>
      <c r="G238" s="419"/>
      <c r="H238" s="420"/>
      <c r="I238" s="420"/>
      <c r="J238" s="420"/>
      <c r="K238" s="421"/>
      <c r="L238" s="416"/>
      <c r="M238" s="416"/>
      <c r="N238" s="416"/>
      <c r="O238" s="417"/>
    </row>
    <row r="239" spans="1:23" s="422" customFormat="1" ht="24" customHeight="1">
      <c r="A239" s="409"/>
      <c r="B239" s="112"/>
      <c r="C239" s="112"/>
      <c r="D239" s="112"/>
      <c r="E239" s="112"/>
      <c r="F239" s="418"/>
      <c r="G239" s="419"/>
      <c r="H239" s="420"/>
      <c r="I239" s="420"/>
      <c r="J239" s="420"/>
      <c r="K239" s="421"/>
      <c r="L239" s="416"/>
      <c r="M239" s="416"/>
      <c r="N239" s="416"/>
      <c r="O239" s="417"/>
      <c r="P239" s="409"/>
      <c r="Q239" s="409"/>
      <c r="R239" s="409"/>
      <c r="S239" s="409"/>
      <c r="T239" s="409"/>
      <c r="U239" s="409"/>
      <c r="V239" s="409"/>
      <c r="W239" s="409"/>
    </row>
    <row r="240" spans="1:23" s="409" customFormat="1" ht="24" customHeight="1">
      <c r="B240" s="112"/>
      <c r="C240" s="112"/>
      <c r="D240" s="112"/>
      <c r="E240" s="112"/>
      <c r="F240" s="418"/>
      <c r="G240" s="419"/>
      <c r="H240" s="420"/>
      <c r="I240" s="420"/>
      <c r="J240" s="420"/>
      <c r="K240" s="421"/>
      <c r="L240" s="416"/>
      <c r="M240" s="416"/>
      <c r="N240" s="416"/>
      <c r="O240" s="417"/>
    </row>
    <row r="241" spans="2:15" s="409" customFormat="1" ht="24" customHeight="1">
      <c r="B241" s="112"/>
      <c r="C241" s="112"/>
      <c r="D241" s="112"/>
      <c r="E241" s="112"/>
      <c r="F241" s="418"/>
      <c r="G241" s="419"/>
      <c r="H241" s="420"/>
      <c r="I241" s="420"/>
      <c r="J241" s="420"/>
      <c r="K241" s="421"/>
      <c r="L241" s="416"/>
      <c r="M241" s="416"/>
      <c r="N241" s="416"/>
      <c r="O241" s="417"/>
    </row>
    <row r="242" spans="2:15" s="409" customFormat="1" ht="24" customHeight="1">
      <c r="B242" s="112"/>
      <c r="C242" s="112"/>
      <c r="D242" s="112"/>
      <c r="E242" s="112"/>
      <c r="F242" s="418"/>
      <c r="G242" s="419"/>
      <c r="H242" s="420"/>
      <c r="I242" s="420"/>
      <c r="J242" s="420"/>
      <c r="K242" s="421"/>
      <c r="L242" s="416"/>
      <c r="M242" s="416"/>
      <c r="N242" s="416"/>
      <c r="O242" s="417"/>
    </row>
    <row r="243" spans="2:15" s="409" customFormat="1" ht="24" customHeight="1">
      <c r="B243" s="112"/>
      <c r="C243" s="112"/>
      <c r="D243" s="112"/>
      <c r="E243" s="112"/>
      <c r="F243" s="418"/>
      <c r="G243" s="419"/>
      <c r="H243" s="420"/>
      <c r="I243" s="420"/>
      <c r="J243" s="420"/>
      <c r="K243" s="421"/>
      <c r="L243" s="416"/>
      <c r="M243" s="416"/>
      <c r="N243" s="416"/>
      <c r="O243" s="417"/>
    </row>
    <row r="244" spans="2:15" s="409" customFormat="1" ht="24" customHeight="1">
      <c r="B244" s="112"/>
      <c r="C244" s="112"/>
      <c r="D244" s="112"/>
      <c r="E244" s="112"/>
      <c r="F244" s="418"/>
      <c r="G244" s="419"/>
      <c r="H244" s="420"/>
      <c r="I244" s="420"/>
      <c r="J244" s="420"/>
      <c r="K244" s="421"/>
      <c r="L244" s="416"/>
      <c r="M244" s="416"/>
      <c r="N244" s="416"/>
      <c r="O244" s="417"/>
    </row>
    <row r="245" spans="2:15" s="409" customFormat="1" ht="24" customHeight="1">
      <c r="B245" s="112"/>
      <c r="C245" s="112"/>
      <c r="D245" s="112"/>
      <c r="E245" s="112"/>
      <c r="F245" s="418"/>
      <c r="G245" s="419"/>
      <c r="H245" s="420"/>
      <c r="I245" s="420"/>
      <c r="J245" s="420"/>
      <c r="K245" s="421"/>
      <c r="L245" s="416"/>
      <c r="M245" s="416"/>
      <c r="N245" s="416"/>
      <c r="O245" s="417"/>
    </row>
    <row r="246" spans="2:15" s="409" customFormat="1" ht="24" customHeight="1">
      <c r="B246" s="112"/>
      <c r="C246" s="112"/>
      <c r="D246" s="112"/>
      <c r="E246" s="112"/>
      <c r="F246" s="418"/>
      <c r="G246" s="419"/>
      <c r="H246" s="420"/>
      <c r="I246" s="420"/>
      <c r="J246" s="420"/>
      <c r="K246" s="421"/>
      <c r="L246" s="416"/>
      <c r="M246" s="416"/>
      <c r="N246" s="416"/>
      <c r="O246" s="417"/>
    </row>
    <row r="247" spans="2:15" s="409" customFormat="1" ht="24" customHeight="1">
      <c r="B247" s="112"/>
      <c r="C247" s="112"/>
      <c r="D247" s="112"/>
      <c r="E247" s="112"/>
      <c r="F247" s="418"/>
      <c r="G247" s="419"/>
      <c r="H247" s="420"/>
      <c r="I247" s="420"/>
      <c r="J247" s="420"/>
      <c r="K247" s="421"/>
      <c r="L247" s="416"/>
      <c r="M247" s="416"/>
      <c r="N247" s="416"/>
      <c r="O247" s="417"/>
    </row>
    <row r="248" spans="2:15" s="409" customFormat="1" ht="24" customHeight="1">
      <c r="B248" s="112"/>
      <c r="C248" s="112"/>
      <c r="D248" s="112"/>
      <c r="E248" s="112"/>
      <c r="F248" s="418"/>
      <c r="G248" s="419"/>
      <c r="H248" s="420"/>
      <c r="I248" s="420"/>
      <c r="J248" s="420"/>
      <c r="K248" s="421"/>
      <c r="L248" s="416"/>
      <c r="M248" s="416"/>
      <c r="N248" s="416"/>
      <c r="O248" s="417"/>
    </row>
    <row r="249" spans="2:15" s="409" customFormat="1" ht="24" customHeight="1">
      <c r="B249" s="112"/>
      <c r="C249" s="112"/>
      <c r="D249" s="112"/>
      <c r="E249" s="112"/>
      <c r="F249" s="418"/>
      <c r="G249" s="419"/>
      <c r="H249" s="420"/>
      <c r="I249" s="420"/>
      <c r="J249" s="420"/>
      <c r="K249" s="421"/>
      <c r="L249" s="416"/>
      <c r="M249" s="416"/>
      <c r="N249" s="416"/>
      <c r="O249" s="417"/>
    </row>
    <row r="250" spans="2:15" s="409" customFormat="1" ht="24" customHeight="1">
      <c r="B250" s="112"/>
      <c r="C250" s="112"/>
      <c r="D250" s="112"/>
      <c r="E250" s="112"/>
      <c r="F250" s="418"/>
      <c r="G250" s="419"/>
      <c r="H250" s="420"/>
      <c r="I250" s="420"/>
      <c r="J250" s="420"/>
      <c r="K250" s="421"/>
      <c r="L250" s="416"/>
      <c r="M250" s="416"/>
      <c r="N250" s="416"/>
      <c r="O250" s="417"/>
    </row>
    <row r="251" spans="2:15" s="409" customFormat="1" ht="24" customHeight="1">
      <c r="B251" s="112"/>
      <c r="C251" s="112"/>
      <c r="D251" s="112"/>
      <c r="E251" s="112"/>
      <c r="F251" s="418"/>
      <c r="G251" s="419"/>
      <c r="H251" s="420"/>
      <c r="I251" s="420"/>
      <c r="J251" s="420"/>
      <c r="K251" s="421"/>
      <c r="L251" s="416"/>
      <c r="M251" s="416"/>
      <c r="N251" s="416"/>
      <c r="O251" s="417"/>
    </row>
    <row r="252" spans="2:15" s="409" customFormat="1" ht="24" customHeight="1">
      <c r="B252" s="112"/>
      <c r="C252" s="112"/>
      <c r="D252" s="112"/>
      <c r="E252" s="112"/>
      <c r="F252" s="418"/>
      <c r="G252" s="419"/>
      <c r="H252" s="420"/>
      <c r="I252" s="420"/>
      <c r="J252" s="420"/>
      <c r="K252" s="421"/>
      <c r="L252" s="416"/>
      <c r="M252" s="416"/>
      <c r="N252" s="416"/>
      <c r="O252" s="417"/>
    </row>
    <row r="253" spans="2:15" s="409" customFormat="1" ht="24" customHeight="1">
      <c r="B253" s="112"/>
      <c r="C253" s="112"/>
      <c r="D253" s="112"/>
      <c r="E253" s="112"/>
      <c r="F253" s="418"/>
      <c r="G253" s="419"/>
      <c r="H253" s="420"/>
      <c r="I253" s="420"/>
      <c r="J253" s="420"/>
      <c r="K253" s="421"/>
      <c r="L253" s="416"/>
      <c r="M253" s="416"/>
      <c r="N253" s="416"/>
      <c r="O253" s="417"/>
    </row>
    <row r="254" spans="2:15" s="409" customFormat="1" ht="25.5" customHeight="1">
      <c r="B254" s="112"/>
      <c r="C254" s="112"/>
      <c r="D254" s="112"/>
      <c r="E254" s="112"/>
      <c r="F254" s="418"/>
      <c r="G254" s="419"/>
      <c r="H254" s="420"/>
      <c r="I254" s="420"/>
      <c r="J254" s="420"/>
      <c r="K254" s="421"/>
      <c r="L254" s="416"/>
      <c r="M254" s="416"/>
      <c r="N254" s="416"/>
      <c r="O254" s="417"/>
    </row>
    <row r="255" spans="2:15" s="409" customFormat="1" ht="25.5" customHeight="1">
      <c r="B255" s="112"/>
      <c r="C255" s="112"/>
      <c r="D255" s="112"/>
      <c r="E255" s="112"/>
      <c r="F255" s="418"/>
      <c r="G255" s="419"/>
      <c r="H255" s="420"/>
      <c r="I255" s="420"/>
      <c r="J255" s="420"/>
      <c r="K255" s="421"/>
      <c r="L255" s="416"/>
      <c r="M255" s="416"/>
      <c r="N255" s="416"/>
      <c r="O255" s="417"/>
    </row>
    <row r="256" spans="2:15" s="409" customFormat="1" ht="25.5" customHeight="1">
      <c r="B256" s="112"/>
      <c r="C256" s="112"/>
      <c r="D256" s="112"/>
      <c r="E256" s="112"/>
      <c r="F256" s="418"/>
      <c r="G256" s="419"/>
      <c r="H256" s="420"/>
      <c r="I256" s="420"/>
      <c r="J256" s="420"/>
      <c r="K256" s="421"/>
      <c r="L256" s="416"/>
      <c r="M256" s="416"/>
      <c r="N256" s="416"/>
      <c r="O256" s="417"/>
    </row>
    <row r="257" spans="2:15" s="409" customFormat="1" ht="25.5" customHeight="1">
      <c r="B257" s="112"/>
      <c r="C257" s="112"/>
      <c r="D257" s="112"/>
      <c r="E257" s="112"/>
      <c r="F257" s="418"/>
      <c r="G257" s="419"/>
      <c r="H257" s="420"/>
      <c r="I257" s="420"/>
      <c r="J257" s="420"/>
      <c r="K257" s="421"/>
      <c r="L257" s="416"/>
      <c r="M257" s="416"/>
      <c r="N257" s="416"/>
      <c r="O257" s="417"/>
    </row>
    <row r="258" spans="2:15" s="409" customFormat="1" ht="25.5" customHeight="1">
      <c r="B258" s="112"/>
      <c r="C258" s="112"/>
      <c r="D258" s="112"/>
      <c r="E258" s="112"/>
      <c r="F258" s="418"/>
      <c r="G258" s="419"/>
      <c r="H258" s="420"/>
      <c r="I258" s="420"/>
      <c r="J258" s="420"/>
      <c r="K258" s="421"/>
      <c r="L258" s="416"/>
      <c r="M258" s="416"/>
      <c r="N258" s="416"/>
      <c r="O258" s="417"/>
    </row>
    <row r="259" spans="2:15" s="409" customFormat="1" ht="25.5" customHeight="1">
      <c r="B259" s="118"/>
      <c r="C259" s="116"/>
      <c r="D259" s="116"/>
      <c r="E259" s="116"/>
      <c r="K259" s="423"/>
      <c r="M259" s="424"/>
      <c r="O259" s="417"/>
    </row>
    <row r="260" spans="2:15" s="409" customFormat="1" ht="25.5" customHeight="1">
      <c r="B260" s="118"/>
      <c r="C260" s="116"/>
      <c r="D260" s="116"/>
      <c r="E260" s="116"/>
      <c r="K260" s="423"/>
      <c r="M260" s="424"/>
      <c r="O260" s="417"/>
    </row>
    <row r="261" spans="2:15" s="409" customFormat="1" ht="25.5" customHeight="1">
      <c r="B261" s="118"/>
      <c r="C261" s="116"/>
      <c r="D261" s="116"/>
      <c r="E261" s="116"/>
      <c r="K261" s="423"/>
      <c r="M261" s="424"/>
      <c r="O261" s="417"/>
    </row>
    <row r="262" spans="2:15" s="409" customFormat="1" ht="25.5" customHeight="1">
      <c r="B262" s="118"/>
      <c r="C262" s="116"/>
      <c r="D262" s="116"/>
      <c r="E262" s="116"/>
      <c r="K262" s="423"/>
      <c r="M262" s="424"/>
      <c r="O262" s="417"/>
    </row>
    <row r="263" spans="2:15" s="409" customFormat="1" ht="25.5" customHeight="1">
      <c r="B263" s="118"/>
      <c r="C263" s="116"/>
      <c r="D263" s="116"/>
      <c r="E263" s="116"/>
      <c r="K263" s="423"/>
      <c r="M263" s="424"/>
      <c r="O263" s="417"/>
    </row>
    <row r="264" spans="2:15" s="409" customFormat="1" ht="25.5" customHeight="1">
      <c r="B264" s="118"/>
      <c r="C264" s="116"/>
      <c r="D264" s="116"/>
      <c r="E264" s="116"/>
      <c r="K264" s="423"/>
      <c r="M264" s="424"/>
      <c r="O264" s="417"/>
    </row>
    <row r="265" spans="2:15" s="409" customFormat="1" ht="25.5" customHeight="1">
      <c r="B265" s="118"/>
      <c r="C265" s="116"/>
      <c r="D265" s="116"/>
      <c r="E265" s="116"/>
      <c r="K265" s="423"/>
      <c r="M265" s="424"/>
      <c r="O265" s="417"/>
    </row>
    <row r="266" spans="2:15" s="409" customFormat="1" ht="25.5" customHeight="1">
      <c r="B266" s="118"/>
      <c r="C266" s="116"/>
      <c r="D266" s="116"/>
      <c r="E266" s="116"/>
      <c r="K266" s="423"/>
      <c r="M266" s="424"/>
      <c r="O266" s="417"/>
    </row>
    <row r="267" spans="2:15" s="409" customFormat="1" ht="25.5" customHeight="1">
      <c r="B267" s="118"/>
      <c r="C267" s="116"/>
      <c r="D267" s="116"/>
      <c r="E267" s="116"/>
      <c r="K267" s="423"/>
      <c r="M267" s="424"/>
      <c r="O267" s="417"/>
    </row>
    <row r="268" spans="2:15" s="409" customFormat="1" ht="25.5" customHeight="1">
      <c r="B268" s="118"/>
      <c r="C268" s="116"/>
      <c r="D268" s="116"/>
      <c r="E268" s="116"/>
      <c r="K268" s="423"/>
      <c r="M268" s="424"/>
      <c r="O268" s="417"/>
    </row>
    <row r="269" spans="2:15" s="409" customFormat="1" ht="25.5" customHeight="1">
      <c r="B269" s="118"/>
      <c r="C269" s="116"/>
      <c r="D269" s="116"/>
      <c r="E269" s="116"/>
      <c r="K269" s="423"/>
      <c r="M269" s="424"/>
      <c r="O269" s="417"/>
    </row>
    <row r="270" spans="2:15" s="409" customFormat="1" ht="25.5" customHeight="1">
      <c r="B270" s="118"/>
      <c r="C270" s="116"/>
      <c r="D270" s="116"/>
      <c r="E270" s="116"/>
      <c r="K270" s="423"/>
      <c r="M270" s="424"/>
      <c r="O270" s="417"/>
    </row>
    <row r="271" spans="2:15" s="409" customFormat="1" ht="25.5" customHeight="1">
      <c r="B271" s="118"/>
      <c r="C271" s="116"/>
      <c r="D271" s="116"/>
      <c r="E271" s="116"/>
      <c r="K271" s="423"/>
      <c r="M271" s="424"/>
      <c r="O271" s="417"/>
    </row>
    <row r="272" spans="2:15" s="409" customFormat="1" ht="25.5" customHeight="1">
      <c r="B272" s="118"/>
      <c r="C272" s="116"/>
      <c r="D272" s="116"/>
      <c r="E272" s="116"/>
      <c r="K272" s="423"/>
      <c r="M272" s="424"/>
      <c r="O272" s="417"/>
    </row>
    <row r="273" spans="2:15" s="409" customFormat="1" ht="25.5" customHeight="1">
      <c r="B273" s="118"/>
      <c r="C273" s="116"/>
      <c r="D273" s="116"/>
      <c r="E273" s="116"/>
      <c r="K273" s="423"/>
      <c r="M273" s="424"/>
      <c r="O273" s="417"/>
    </row>
    <row r="274" spans="2:15" s="409" customFormat="1" ht="25.5" customHeight="1">
      <c r="B274" s="118"/>
      <c r="C274" s="116"/>
      <c r="D274" s="116"/>
      <c r="E274" s="116"/>
      <c r="K274" s="423"/>
      <c r="M274" s="424"/>
      <c r="O274" s="417"/>
    </row>
    <row r="275" spans="2:15" s="409" customFormat="1" ht="25.5" customHeight="1">
      <c r="B275" s="118"/>
      <c r="C275" s="116"/>
      <c r="D275" s="116"/>
      <c r="E275" s="116"/>
      <c r="K275" s="423"/>
      <c r="M275" s="424"/>
      <c r="O275" s="417"/>
    </row>
    <row r="276" spans="2:15" s="409" customFormat="1" ht="25.5" customHeight="1">
      <c r="B276" s="118"/>
      <c r="C276" s="116"/>
      <c r="D276" s="116"/>
      <c r="E276" s="116"/>
      <c r="K276" s="423"/>
      <c r="M276" s="424"/>
      <c r="O276" s="417"/>
    </row>
    <row r="277" spans="2:15" s="409" customFormat="1" ht="25.5" customHeight="1">
      <c r="B277" s="118"/>
      <c r="C277" s="116"/>
      <c r="D277" s="116"/>
      <c r="E277" s="116"/>
      <c r="K277" s="423"/>
      <c r="M277" s="424"/>
      <c r="O277" s="417"/>
    </row>
    <row r="278" spans="2:15" s="409" customFormat="1" ht="25.5" customHeight="1">
      <c r="B278" s="118"/>
      <c r="C278" s="116"/>
      <c r="D278" s="116"/>
      <c r="E278" s="116"/>
      <c r="K278" s="423"/>
      <c r="M278" s="424"/>
      <c r="O278" s="417"/>
    </row>
    <row r="279" spans="2:15" s="409" customFormat="1" ht="25.5" customHeight="1">
      <c r="B279" s="118"/>
      <c r="C279" s="116"/>
      <c r="D279" s="116"/>
      <c r="E279" s="116"/>
      <c r="K279" s="423"/>
      <c r="M279" s="424"/>
      <c r="O279" s="417"/>
    </row>
    <row r="280" spans="2:15" s="409" customFormat="1" ht="25.5" customHeight="1">
      <c r="B280" s="118"/>
      <c r="C280" s="116"/>
      <c r="D280" s="116"/>
      <c r="E280" s="116"/>
      <c r="K280" s="423"/>
      <c r="M280" s="424"/>
      <c r="O280" s="417"/>
    </row>
    <row r="281" spans="2:15" s="409" customFormat="1" ht="25.5" customHeight="1">
      <c r="B281" s="118"/>
      <c r="C281" s="116"/>
      <c r="D281" s="116"/>
      <c r="E281" s="116"/>
      <c r="K281" s="423"/>
      <c r="M281" s="424"/>
      <c r="O281" s="417"/>
    </row>
    <row r="282" spans="2:15" s="409" customFormat="1" ht="25.5" customHeight="1">
      <c r="B282" s="118"/>
      <c r="C282" s="116"/>
      <c r="D282" s="116"/>
      <c r="E282" s="116"/>
      <c r="K282" s="423"/>
      <c r="M282" s="424"/>
      <c r="O282" s="417"/>
    </row>
    <row r="283" spans="2:15" s="409" customFormat="1" ht="25.5" customHeight="1">
      <c r="B283" s="118"/>
      <c r="C283" s="116"/>
      <c r="D283" s="116"/>
      <c r="E283" s="116"/>
      <c r="K283" s="423"/>
      <c r="M283" s="424"/>
      <c r="O283" s="417"/>
    </row>
    <row r="284" spans="2:15" s="409" customFormat="1" ht="25.5" customHeight="1">
      <c r="B284" s="118"/>
      <c r="C284" s="116"/>
      <c r="D284" s="116"/>
      <c r="E284" s="116"/>
      <c r="K284" s="423"/>
      <c r="M284" s="424"/>
      <c r="O284" s="417"/>
    </row>
    <row r="285" spans="2:15" s="409" customFormat="1" ht="25.5" customHeight="1">
      <c r="B285" s="118"/>
      <c r="C285" s="116"/>
      <c r="D285" s="116"/>
      <c r="E285" s="116"/>
      <c r="K285" s="423"/>
      <c r="M285" s="424"/>
      <c r="O285" s="417"/>
    </row>
    <row r="286" spans="2:15" s="409" customFormat="1" ht="25.5" customHeight="1">
      <c r="B286" s="118"/>
      <c r="C286" s="116"/>
      <c r="D286" s="116"/>
      <c r="E286" s="116"/>
      <c r="K286" s="423"/>
      <c r="M286" s="424"/>
      <c r="O286" s="417"/>
    </row>
    <row r="287" spans="2:15" s="409" customFormat="1" ht="25.5" customHeight="1">
      <c r="B287" s="118"/>
      <c r="C287" s="116"/>
      <c r="D287" s="116"/>
      <c r="E287" s="116"/>
      <c r="K287" s="423"/>
      <c r="M287" s="424"/>
      <c r="O287" s="417"/>
    </row>
    <row r="288" spans="2:15" s="409" customFormat="1" ht="25.5" customHeight="1">
      <c r="B288" s="118"/>
      <c r="C288" s="116"/>
      <c r="D288" s="116"/>
      <c r="E288" s="116"/>
      <c r="K288" s="423"/>
      <c r="M288" s="424"/>
      <c r="O288" s="417"/>
    </row>
    <row r="289" spans="2:15" s="409" customFormat="1" ht="25.5" customHeight="1">
      <c r="B289" s="118"/>
      <c r="C289" s="116"/>
      <c r="D289" s="116"/>
      <c r="E289" s="116"/>
      <c r="K289" s="423"/>
      <c r="M289" s="424"/>
      <c r="O289" s="417"/>
    </row>
    <row r="290" spans="2:15" s="409" customFormat="1" ht="25.5" customHeight="1">
      <c r="B290" s="118"/>
      <c r="C290" s="116"/>
      <c r="D290" s="116"/>
      <c r="E290" s="116"/>
      <c r="K290" s="423"/>
      <c r="M290" s="424"/>
      <c r="O290" s="417"/>
    </row>
    <row r="291" spans="2:15" s="409" customFormat="1" ht="25.5" customHeight="1">
      <c r="B291" s="118"/>
      <c r="C291" s="116"/>
      <c r="D291" s="116"/>
      <c r="E291" s="116"/>
      <c r="K291" s="423"/>
      <c r="M291" s="424"/>
      <c r="O291" s="417"/>
    </row>
    <row r="292" spans="2:15" s="409" customFormat="1" ht="25.5" customHeight="1">
      <c r="B292" s="118"/>
      <c r="C292" s="116"/>
      <c r="D292" s="116"/>
      <c r="E292" s="116"/>
      <c r="K292" s="423"/>
      <c r="M292" s="424"/>
      <c r="O292" s="417"/>
    </row>
    <row r="293" spans="2:15" s="409" customFormat="1" ht="25.5" customHeight="1">
      <c r="B293" s="118"/>
      <c r="C293" s="116"/>
      <c r="D293" s="116"/>
      <c r="E293" s="116"/>
      <c r="K293" s="423"/>
      <c r="M293" s="424"/>
      <c r="O293" s="417"/>
    </row>
    <row r="294" spans="2:15" s="409" customFormat="1" ht="25.5" customHeight="1">
      <c r="B294" s="118"/>
      <c r="C294" s="116"/>
      <c r="D294" s="116"/>
      <c r="E294" s="116"/>
      <c r="K294" s="423"/>
      <c r="M294" s="424"/>
      <c r="O294" s="417"/>
    </row>
    <row r="295" spans="2:15" s="409" customFormat="1" ht="25.5" customHeight="1">
      <c r="B295" s="118"/>
      <c r="C295" s="116"/>
      <c r="D295" s="116"/>
      <c r="E295" s="116"/>
      <c r="K295" s="423"/>
      <c r="M295" s="424"/>
      <c r="O295" s="417"/>
    </row>
    <row r="296" spans="2:15" s="409" customFormat="1" ht="25.5" customHeight="1">
      <c r="B296" s="118"/>
      <c r="C296" s="116"/>
      <c r="D296" s="116"/>
      <c r="E296" s="116"/>
      <c r="K296" s="423"/>
      <c r="M296" s="424"/>
      <c r="O296" s="417"/>
    </row>
    <row r="297" spans="2:15" s="409" customFormat="1" ht="25.5" customHeight="1">
      <c r="B297" s="118"/>
      <c r="C297" s="116"/>
      <c r="D297" s="116"/>
      <c r="E297" s="116"/>
      <c r="K297" s="423"/>
      <c r="M297" s="424"/>
      <c r="O297" s="417"/>
    </row>
    <row r="298" spans="2:15" s="409" customFormat="1" ht="25.5" customHeight="1">
      <c r="B298" s="118"/>
      <c r="C298" s="116"/>
      <c r="D298" s="116"/>
      <c r="E298" s="116"/>
      <c r="K298" s="423"/>
      <c r="M298" s="424"/>
      <c r="O298" s="417"/>
    </row>
    <row r="299" spans="2:15" s="409" customFormat="1" ht="25.5" customHeight="1">
      <c r="B299" s="118"/>
      <c r="C299" s="116"/>
      <c r="D299" s="116"/>
      <c r="E299" s="116"/>
      <c r="K299" s="423"/>
      <c r="M299" s="424"/>
      <c r="O299" s="417"/>
    </row>
    <row r="300" spans="2:15" s="409" customFormat="1" ht="25.5" customHeight="1">
      <c r="B300" s="118"/>
      <c r="C300" s="116"/>
      <c r="D300" s="116"/>
      <c r="E300" s="116"/>
      <c r="K300" s="423"/>
      <c r="M300" s="424"/>
      <c r="O300" s="417"/>
    </row>
    <row r="301" spans="2:15" s="409" customFormat="1" ht="25.5" customHeight="1">
      <c r="B301" s="118"/>
      <c r="C301" s="116"/>
      <c r="D301" s="116"/>
      <c r="E301" s="116"/>
      <c r="K301" s="423"/>
      <c r="M301" s="424"/>
      <c r="O301" s="417"/>
    </row>
    <row r="302" spans="2:15" s="409" customFormat="1" ht="25.5" customHeight="1">
      <c r="B302" s="118"/>
      <c r="C302" s="116"/>
      <c r="D302" s="116"/>
      <c r="E302" s="116"/>
      <c r="K302" s="423"/>
      <c r="M302" s="424"/>
      <c r="O302" s="417"/>
    </row>
    <row r="303" spans="2:15" s="409" customFormat="1" ht="25.5" customHeight="1">
      <c r="B303" s="118"/>
      <c r="C303" s="116"/>
      <c r="D303" s="116"/>
      <c r="E303" s="116"/>
      <c r="K303" s="423"/>
      <c r="M303" s="424"/>
      <c r="O303" s="417"/>
    </row>
    <row r="304" spans="2:15" s="409" customFormat="1" ht="25.5" customHeight="1">
      <c r="B304" s="118"/>
      <c r="C304" s="116"/>
      <c r="D304" s="116"/>
      <c r="E304" s="116"/>
      <c r="K304" s="423"/>
      <c r="M304" s="424"/>
      <c r="O304" s="417"/>
    </row>
    <row r="305" spans="2:15" s="409" customFormat="1" ht="25.5" customHeight="1">
      <c r="B305" s="118"/>
      <c r="C305" s="116"/>
      <c r="D305" s="116"/>
      <c r="E305" s="116"/>
      <c r="K305" s="423"/>
      <c r="M305" s="424"/>
      <c r="O305" s="417"/>
    </row>
    <row r="306" spans="2:15" s="409" customFormat="1" ht="25.5" customHeight="1">
      <c r="B306" s="118"/>
      <c r="C306" s="116"/>
      <c r="D306" s="116"/>
      <c r="E306" s="116"/>
      <c r="K306" s="423"/>
      <c r="M306" s="424"/>
      <c r="O306" s="417"/>
    </row>
    <row r="307" spans="2:15" s="409" customFormat="1" ht="25.5" customHeight="1">
      <c r="B307" s="115"/>
      <c r="C307" s="117"/>
      <c r="D307" s="117"/>
      <c r="E307" s="117"/>
      <c r="F307" s="417"/>
      <c r="G307" s="417"/>
      <c r="H307" s="417"/>
      <c r="I307" s="417"/>
      <c r="J307" s="417"/>
      <c r="K307" s="421"/>
      <c r="L307" s="417"/>
      <c r="M307" s="425"/>
      <c r="O307" s="417"/>
    </row>
    <row r="308" spans="2:15" s="409" customFormat="1" ht="25.5" customHeight="1">
      <c r="B308" s="118"/>
      <c r="C308" s="116"/>
      <c r="D308" s="116"/>
      <c r="E308" s="116"/>
      <c r="K308" s="423"/>
      <c r="M308" s="424"/>
      <c r="O308" s="417"/>
    </row>
    <row r="309" spans="2:15" s="409" customFormat="1" ht="25.5" customHeight="1">
      <c r="B309" s="118"/>
      <c r="C309" s="116"/>
      <c r="D309" s="116"/>
      <c r="E309" s="116"/>
      <c r="K309" s="423"/>
      <c r="M309" s="424"/>
      <c r="O309" s="417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6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6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6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6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6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6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6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6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6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6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6"/>
    </row>
    <row r="321" spans="2:15" s="168" customFormat="1" ht="25.5" customHeight="1">
      <c r="B321" s="40"/>
      <c r="C321" s="40"/>
      <c r="D321" s="98"/>
      <c r="E321" s="1"/>
      <c r="K321" s="203"/>
      <c r="M321" s="349"/>
      <c r="O321" s="426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6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6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6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6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6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6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6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6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6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6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6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6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6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6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6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6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6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6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6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6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6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6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6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6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6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6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6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6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6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6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6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6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6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6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6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6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6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6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6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6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6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6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6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6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6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6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6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6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6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6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6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6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6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6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6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6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6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6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6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6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6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6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6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6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6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6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6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6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6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6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6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6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6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6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6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6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6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6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6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6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6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6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6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6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6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6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6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6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6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6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6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6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6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6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6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6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6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6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6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6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6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6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6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6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6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6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6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6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6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6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6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6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6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6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6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6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6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6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6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6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6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6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6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6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6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6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6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6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6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6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6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6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6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6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6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6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6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6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6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6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6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6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6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6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6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6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6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6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6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6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6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6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6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6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6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6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6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6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6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6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6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6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6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6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6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6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6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6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6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6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6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6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6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6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6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6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6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6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6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6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6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6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6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6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6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6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6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6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6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6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6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6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6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6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6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6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6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6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6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6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6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6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6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6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6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6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6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6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6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6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6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6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6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6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6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6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6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6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6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6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6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6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6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6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6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6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6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6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6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6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6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6"/>
    </row>
    <row r="554" spans="2:15" s="168" customFormat="1" ht="25.5" customHeight="1">
      <c r="B554" s="119"/>
      <c r="C554" s="1"/>
      <c r="D554" s="1"/>
      <c r="E554" s="1"/>
      <c r="K554" s="203"/>
      <c r="M554" s="349"/>
      <c r="O554" s="426"/>
    </row>
    <row r="555" spans="2:15" s="168" customFormat="1" ht="25.5" customHeight="1">
      <c r="B555" s="119"/>
      <c r="C555" s="1"/>
      <c r="D555" s="1"/>
      <c r="E555" s="1"/>
      <c r="K555" s="203"/>
      <c r="M555" s="349"/>
      <c r="O555" s="426"/>
    </row>
    <row r="556" spans="2:15" s="168" customFormat="1" ht="25.5" customHeight="1">
      <c r="B556" s="119"/>
      <c r="C556" s="1"/>
      <c r="D556" s="1"/>
      <c r="E556" s="1"/>
      <c r="K556" s="203"/>
      <c r="M556" s="349"/>
      <c r="O556" s="426"/>
    </row>
    <row r="557" spans="2:15" s="168" customFormat="1" ht="25.5" customHeight="1">
      <c r="B557" s="119"/>
      <c r="C557" s="1"/>
      <c r="D557" s="1"/>
      <c r="E557" s="1"/>
      <c r="K557" s="203"/>
      <c r="M557" s="349"/>
      <c r="O557" s="426"/>
    </row>
    <row r="558" spans="2:15" s="168" customFormat="1" ht="25.5" customHeight="1">
      <c r="B558" s="119"/>
      <c r="C558" s="1"/>
      <c r="D558" s="1"/>
      <c r="E558" s="1"/>
      <c r="K558" s="203"/>
      <c r="M558" s="349"/>
      <c r="O558" s="426"/>
    </row>
    <row r="559" spans="2:15" s="168" customFormat="1" ht="25.5" customHeight="1">
      <c r="B559" s="119"/>
      <c r="C559" s="1"/>
      <c r="D559" s="1"/>
      <c r="E559" s="1"/>
      <c r="K559" s="203"/>
      <c r="M559" s="349"/>
      <c r="O559" s="426"/>
    </row>
    <row r="560" spans="2:15" s="168" customFormat="1" ht="25.5" customHeight="1">
      <c r="B560" s="119"/>
      <c r="C560" s="1"/>
      <c r="D560" s="1"/>
      <c r="E560" s="1"/>
      <c r="K560" s="203"/>
      <c r="M560" s="349"/>
      <c r="O560" s="426"/>
    </row>
    <row r="561" spans="2:15" s="168" customFormat="1" ht="25.5" customHeight="1">
      <c r="B561" s="119"/>
      <c r="C561" s="1"/>
      <c r="D561" s="1"/>
      <c r="E561" s="1"/>
      <c r="K561" s="203"/>
      <c r="M561" s="349"/>
      <c r="O561" s="426"/>
    </row>
    <row r="562" spans="2:15" s="168" customFormat="1" ht="25.5" customHeight="1">
      <c r="B562" s="119"/>
      <c r="C562" s="1"/>
      <c r="D562" s="1"/>
      <c r="E562" s="1"/>
      <c r="K562" s="203"/>
      <c r="M562" s="349"/>
      <c r="O562" s="426"/>
    </row>
    <row r="563" spans="2:15" s="168" customFormat="1" ht="25.5" customHeight="1">
      <c r="B563" s="119"/>
      <c r="C563" s="1"/>
      <c r="D563" s="1"/>
      <c r="E563" s="1"/>
      <c r="K563" s="203"/>
      <c r="M563" s="349"/>
      <c r="O563" s="426"/>
    </row>
    <row r="564" spans="2:15" s="168" customFormat="1" ht="25.5" customHeight="1">
      <c r="B564" s="119"/>
      <c r="C564" s="1"/>
      <c r="D564" s="1"/>
      <c r="E564" s="1"/>
      <c r="K564" s="203"/>
      <c r="M564" s="349"/>
      <c r="O564" s="426"/>
    </row>
    <row r="565" spans="2:15" s="168" customFormat="1" ht="25.5" customHeight="1">
      <c r="B565" s="119"/>
      <c r="C565" s="1"/>
      <c r="D565" s="1"/>
      <c r="E565" s="1"/>
      <c r="K565" s="203"/>
      <c r="M565" s="349"/>
      <c r="O565" s="426"/>
    </row>
    <row r="566" spans="2:15" s="168" customFormat="1" ht="25.5" customHeight="1">
      <c r="B566" s="119"/>
      <c r="C566" s="1"/>
      <c r="D566" s="1"/>
      <c r="E566" s="1"/>
      <c r="K566" s="203"/>
      <c r="M566" s="349"/>
      <c r="O566" s="426"/>
    </row>
    <row r="567" spans="2:15" s="168" customFormat="1" ht="25.5" customHeight="1">
      <c r="B567" s="119"/>
      <c r="C567" s="1"/>
      <c r="D567" s="1"/>
      <c r="E567" s="1"/>
      <c r="K567" s="203"/>
      <c r="M567" s="349"/>
      <c r="O567" s="426"/>
    </row>
    <row r="568" spans="2:15" s="168" customFormat="1" ht="25.5" customHeight="1">
      <c r="B568" s="119"/>
      <c r="C568" s="1"/>
      <c r="D568" s="1"/>
      <c r="E568" s="1"/>
      <c r="K568" s="203"/>
      <c r="M568" s="349"/>
      <c r="O568" s="426"/>
    </row>
    <row r="569" spans="2:15" s="168" customFormat="1" ht="25.5" customHeight="1">
      <c r="B569" s="119"/>
      <c r="C569" s="1"/>
      <c r="D569" s="1"/>
      <c r="E569" s="1"/>
      <c r="K569" s="203"/>
      <c r="M569" s="349"/>
      <c r="O569" s="426"/>
    </row>
    <row r="570" spans="2:15" s="168" customFormat="1" ht="25.5" customHeight="1">
      <c r="B570" s="119"/>
      <c r="C570" s="1"/>
      <c r="D570" s="1"/>
      <c r="E570" s="1"/>
      <c r="K570" s="203"/>
      <c r="M570" s="349"/>
      <c r="O570" s="426"/>
    </row>
    <row r="571" spans="2:15" s="168" customFormat="1" ht="25.5" customHeight="1">
      <c r="B571" s="119"/>
      <c r="C571" s="1"/>
      <c r="D571" s="1"/>
      <c r="E571" s="1"/>
      <c r="K571" s="203"/>
      <c r="M571" s="349"/>
      <c r="O571" s="426"/>
    </row>
    <row r="572" spans="2:15" s="168" customFormat="1" ht="25.5" customHeight="1">
      <c r="B572" s="119"/>
      <c r="C572" s="1"/>
      <c r="D572" s="1"/>
      <c r="E572" s="1"/>
      <c r="K572" s="203"/>
      <c r="M572" s="349"/>
      <c r="O572" s="426"/>
    </row>
    <row r="573" spans="2:15" s="168" customFormat="1" ht="25.5" customHeight="1">
      <c r="B573" s="119"/>
      <c r="C573" s="1"/>
      <c r="D573" s="1"/>
      <c r="E573" s="1"/>
      <c r="K573" s="203"/>
      <c r="M573" s="349"/>
      <c r="O573" s="426"/>
    </row>
    <row r="574" spans="2:15" s="168" customFormat="1" ht="25.5" customHeight="1">
      <c r="B574" s="119"/>
      <c r="C574" s="1"/>
      <c r="D574" s="1"/>
      <c r="E574" s="1"/>
      <c r="K574" s="203"/>
      <c r="M574" s="349"/>
      <c r="O574" s="426"/>
    </row>
    <row r="575" spans="2:15" s="168" customFormat="1" ht="25.5" customHeight="1">
      <c r="B575" s="119"/>
      <c r="C575" s="1"/>
      <c r="D575" s="1"/>
      <c r="E575" s="1"/>
      <c r="K575" s="203"/>
      <c r="M575" s="349"/>
      <c r="O575" s="426"/>
    </row>
    <row r="576" spans="2:15" s="168" customFormat="1" ht="25.5" customHeight="1">
      <c r="B576" s="119"/>
      <c r="C576" s="1"/>
      <c r="D576" s="1"/>
      <c r="E576" s="1"/>
      <c r="K576" s="203"/>
      <c r="M576" s="349"/>
      <c r="O576" s="426"/>
    </row>
    <row r="577" spans="2:15" s="168" customFormat="1" ht="25.5" customHeight="1">
      <c r="B577" s="119"/>
      <c r="C577" s="1"/>
      <c r="D577" s="1"/>
      <c r="E577" s="1"/>
      <c r="K577" s="203"/>
      <c r="M577" s="349"/>
      <c r="O577" s="426"/>
    </row>
    <row r="578" spans="2:15" s="168" customFormat="1" ht="25.5" customHeight="1">
      <c r="B578" s="119"/>
      <c r="C578" s="1"/>
      <c r="D578" s="1"/>
      <c r="E578" s="1"/>
      <c r="K578" s="203"/>
      <c r="M578" s="349"/>
      <c r="O578" s="426"/>
    </row>
    <row r="579" spans="2:15" s="168" customFormat="1" ht="25.5" customHeight="1">
      <c r="B579" s="119"/>
      <c r="C579" s="1"/>
      <c r="D579" s="1"/>
      <c r="E579" s="1"/>
      <c r="K579" s="203"/>
      <c r="M579" s="349"/>
      <c r="O579" s="426"/>
    </row>
    <row r="580" spans="2:15" s="168" customFormat="1" ht="25.5" customHeight="1">
      <c r="B580" s="119"/>
      <c r="C580" s="1"/>
      <c r="D580" s="1"/>
      <c r="E580" s="1"/>
      <c r="K580" s="203"/>
      <c r="M580" s="349"/>
      <c r="O580" s="426"/>
    </row>
    <row r="581" spans="2:15" s="168" customFormat="1" ht="25.5" customHeight="1">
      <c r="B581" s="119"/>
      <c r="C581" s="1"/>
      <c r="D581" s="1"/>
      <c r="E581" s="1"/>
      <c r="K581" s="203"/>
      <c r="M581" s="349"/>
      <c r="O581" s="426"/>
    </row>
    <row r="582" spans="2:15" s="168" customFormat="1" ht="25.5" customHeight="1">
      <c r="B582" s="119"/>
      <c r="C582" s="1"/>
      <c r="D582" s="1"/>
      <c r="E582" s="1"/>
      <c r="K582" s="203"/>
      <c r="M582" s="349"/>
      <c r="O582" s="426"/>
    </row>
    <row r="583" spans="2:15" s="168" customFormat="1" ht="25.5" customHeight="1">
      <c r="B583" s="119"/>
      <c r="C583" s="1"/>
      <c r="D583" s="1"/>
      <c r="E583" s="1"/>
      <c r="K583" s="203"/>
      <c r="M583" s="349"/>
      <c r="O583" s="426"/>
    </row>
    <row r="584" spans="2:15" s="168" customFormat="1" ht="25.5" customHeight="1">
      <c r="B584" s="119"/>
      <c r="C584" s="1"/>
      <c r="D584" s="1"/>
      <c r="E584" s="1"/>
      <c r="K584" s="203"/>
      <c r="M584" s="349"/>
      <c r="O584" s="426"/>
    </row>
    <row r="585" spans="2:15" s="168" customFormat="1" ht="25.5" customHeight="1">
      <c r="B585" s="119"/>
      <c r="C585" s="1"/>
      <c r="D585" s="1"/>
      <c r="E585" s="1"/>
      <c r="K585" s="203"/>
      <c r="M585" s="349"/>
      <c r="O585" s="426"/>
    </row>
    <row r="586" spans="2:15" s="168" customFormat="1" ht="25.5" customHeight="1">
      <c r="B586" s="119"/>
      <c r="C586" s="1"/>
      <c r="D586" s="1"/>
      <c r="E586" s="1"/>
      <c r="K586" s="203"/>
      <c r="M586" s="349"/>
      <c r="O586" s="426"/>
    </row>
    <row r="587" spans="2:15" s="168" customFormat="1" ht="25.5" customHeight="1">
      <c r="B587" s="119"/>
      <c r="C587" s="1"/>
      <c r="D587" s="1"/>
      <c r="E587" s="1"/>
      <c r="K587" s="203"/>
      <c r="M587" s="349"/>
      <c r="O587" s="426"/>
    </row>
    <row r="588" spans="2:15" s="168" customFormat="1" ht="25.5" customHeight="1">
      <c r="B588" s="119"/>
      <c r="C588" s="1"/>
      <c r="D588" s="1"/>
      <c r="E588" s="1"/>
      <c r="K588" s="203"/>
      <c r="M588" s="349"/>
      <c r="O588" s="426"/>
    </row>
    <row r="589" spans="2:15" s="168" customFormat="1" ht="25.5" customHeight="1">
      <c r="B589" s="119"/>
      <c r="C589" s="1"/>
      <c r="D589" s="1"/>
      <c r="E589" s="1"/>
      <c r="K589" s="203"/>
      <c r="M589" s="349"/>
      <c r="O589" s="426"/>
    </row>
    <row r="590" spans="2:15" s="168" customFormat="1" ht="25.5" customHeight="1">
      <c r="B590" s="119"/>
      <c r="C590" s="1"/>
      <c r="D590" s="1"/>
      <c r="E590" s="1"/>
      <c r="K590" s="203"/>
      <c r="M590" s="349"/>
      <c r="O590" s="426"/>
    </row>
    <row r="591" spans="2:15" s="168" customFormat="1" ht="25.5" customHeight="1">
      <c r="B591" s="119"/>
      <c r="C591" s="1"/>
      <c r="D591" s="1"/>
      <c r="E591" s="1"/>
      <c r="K591" s="203"/>
      <c r="M591" s="349"/>
      <c r="O591" s="426"/>
    </row>
    <row r="592" spans="2:15" s="168" customFormat="1" ht="25.5" customHeight="1">
      <c r="B592" s="119"/>
      <c r="C592" s="1"/>
      <c r="D592" s="1"/>
      <c r="E592" s="1"/>
      <c r="K592" s="203"/>
      <c r="M592" s="349"/>
      <c r="O592" s="426"/>
    </row>
    <row r="593" spans="2:15" s="168" customFormat="1" ht="25.5" customHeight="1">
      <c r="B593" s="119"/>
      <c r="C593" s="1"/>
      <c r="D593" s="1"/>
      <c r="E593" s="1"/>
      <c r="K593" s="203"/>
      <c r="M593" s="349"/>
      <c r="O593" s="426"/>
    </row>
    <row r="594" spans="2:15" s="168" customFormat="1" ht="25.5" customHeight="1">
      <c r="B594" s="119"/>
      <c r="C594" s="1"/>
      <c r="D594" s="1"/>
      <c r="E594" s="1"/>
      <c r="K594" s="203"/>
      <c r="M594" s="349"/>
      <c r="O594" s="426"/>
    </row>
    <row r="595" spans="2:15" s="168" customFormat="1" ht="25.5" customHeight="1">
      <c r="B595" s="119"/>
      <c r="C595" s="1"/>
      <c r="D595" s="1"/>
      <c r="E595" s="1"/>
      <c r="K595" s="203"/>
      <c r="M595" s="349"/>
      <c r="O595" s="426"/>
    </row>
    <row r="596" spans="2:15" s="168" customFormat="1" ht="25.5" customHeight="1">
      <c r="B596" s="119"/>
      <c r="C596" s="1"/>
      <c r="D596" s="1"/>
      <c r="E596" s="1"/>
      <c r="K596" s="203"/>
      <c r="M596" s="349"/>
      <c r="O596" s="426"/>
    </row>
    <row r="597" spans="2:15" s="168" customFormat="1" ht="25.5" customHeight="1">
      <c r="B597" s="119"/>
      <c r="C597" s="1"/>
      <c r="D597" s="1"/>
      <c r="E597" s="1"/>
      <c r="K597" s="203"/>
      <c r="M597" s="349"/>
      <c r="O597" s="426"/>
    </row>
    <row r="598" spans="2:15" s="168" customFormat="1" ht="25.5" customHeight="1">
      <c r="B598" s="119"/>
      <c r="C598" s="1"/>
      <c r="D598" s="1"/>
      <c r="E598" s="1"/>
      <c r="K598" s="203"/>
      <c r="M598" s="349"/>
      <c r="O598" s="426"/>
    </row>
    <row r="599" spans="2:15" s="168" customFormat="1" ht="25.5" customHeight="1">
      <c r="B599" s="119"/>
      <c r="C599" s="1"/>
      <c r="D599" s="1"/>
      <c r="E599" s="1"/>
      <c r="K599" s="203"/>
      <c r="M599" s="349"/>
      <c r="O599" s="426"/>
    </row>
    <row r="600" spans="2:15" s="168" customFormat="1" ht="25.5" customHeight="1">
      <c r="B600" s="119"/>
      <c r="C600" s="1"/>
      <c r="D600" s="1"/>
      <c r="E600" s="1"/>
      <c r="K600" s="203"/>
      <c r="M600" s="349"/>
      <c r="O600" s="426"/>
    </row>
    <row r="601" spans="2:15" s="168" customFormat="1" ht="25.5" customHeight="1">
      <c r="B601" s="119"/>
      <c r="C601" s="1"/>
      <c r="D601" s="1"/>
      <c r="E601" s="1"/>
      <c r="K601" s="203"/>
      <c r="M601" s="349"/>
      <c r="O601" s="426"/>
    </row>
    <row r="602" spans="2:15" s="168" customFormat="1" ht="25.5" customHeight="1">
      <c r="B602" s="119"/>
      <c r="C602" s="1"/>
      <c r="D602" s="1"/>
      <c r="E602" s="1"/>
      <c r="K602" s="203"/>
      <c r="M602" s="349"/>
      <c r="O602" s="426"/>
    </row>
    <row r="603" spans="2:15" s="168" customFormat="1" ht="25.5" customHeight="1">
      <c r="B603" s="119"/>
      <c r="C603" s="1"/>
      <c r="D603" s="1"/>
      <c r="E603" s="1"/>
      <c r="K603" s="203"/>
      <c r="M603" s="349"/>
      <c r="O603" s="426"/>
    </row>
    <row r="604" spans="2:15" s="168" customFormat="1" ht="25.5" customHeight="1">
      <c r="B604" s="119"/>
      <c r="C604" s="1"/>
      <c r="D604" s="1"/>
      <c r="E604" s="1"/>
      <c r="K604" s="203"/>
      <c r="M604" s="349"/>
      <c r="O604" s="426"/>
    </row>
    <row r="605" spans="2:15" s="168" customFormat="1" ht="25.5" customHeight="1">
      <c r="B605" s="119"/>
      <c r="C605" s="1"/>
      <c r="D605" s="1"/>
      <c r="E605" s="1"/>
      <c r="K605" s="203"/>
      <c r="M605" s="349"/>
      <c r="O605" s="426"/>
    </row>
    <row r="606" spans="2:15" s="168" customFormat="1" ht="25.5" customHeight="1">
      <c r="B606" s="119"/>
      <c r="C606" s="1"/>
      <c r="D606" s="1"/>
      <c r="E606" s="1"/>
      <c r="K606" s="203"/>
      <c r="M606" s="349"/>
      <c r="O606" s="426"/>
    </row>
    <row r="607" spans="2:15" s="168" customFormat="1" ht="25.5" customHeight="1">
      <c r="B607" s="119"/>
      <c r="C607" s="1"/>
      <c r="D607" s="1"/>
      <c r="E607" s="1"/>
      <c r="K607" s="203"/>
      <c r="M607" s="349"/>
      <c r="O607" s="426"/>
    </row>
    <row r="608" spans="2:15" s="168" customFormat="1" ht="25.5" customHeight="1">
      <c r="B608" s="119"/>
      <c r="C608" s="1"/>
      <c r="D608" s="1"/>
      <c r="E608" s="1"/>
      <c r="K608" s="203"/>
      <c r="M608" s="349"/>
      <c r="O608" s="426"/>
    </row>
    <row r="609" spans="2:15" s="168" customFormat="1" ht="25.5" customHeight="1">
      <c r="B609" s="119"/>
      <c r="C609" s="1"/>
      <c r="D609" s="1"/>
      <c r="E609" s="1"/>
      <c r="K609" s="203"/>
      <c r="M609" s="349"/>
      <c r="O609" s="426"/>
    </row>
    <row r="610" spans="2:15" s="168" customFormat="1" ht="25.5" customHeight="1">
      <c r="B610" s="119"/>
      <c r="C610" s="1"/>
      <c r="D610" s="1"/>
      <c r="E610" s="1"/>
      <c r="K610" s="203"/>
      <c r="M610" s="349"/>
      <c r="O610" s="426"/>
    </row>
    <row r="611" spans="2:15" s="168" customFormat="1" ht="25.5" customHeight="1">
      <c r="B611" s="119"/>
      <c r="C611" s="1"/>
      <c r="D611" s="1"/>
      <c r="E611" s="1"/>
      <c r="K611" s="203"/>
      <c r="M611" s="349"/>
      <c r="O611" s="426"/>
    </row>
    <row r="612" spans="2:15" s="168" customFormat="1" ht="25.5" customHeight="1">
      <c r="B612" s="119"/>
      <c r="C612" s="1"/>
      <c r="D612" s="1"/>
      <c r="E612" s="1"/>
      <c r="K612" s="203"/>
      <c r="M612" s="349"/>
      <c r="O612" s="42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553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9" s="168" customFormat="1" ht="25.5" customHeight="1">
      <c r="A1" s="164"/>
      <c r="B1" s="63"/>
      <c r="C1" s="2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2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2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1148"/>
      <c r="C4" s="1148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318</v>
      </c>
      <c r="C5" s="543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29"/>
      <c r="C6" s="2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0"/>
      <c r="C7" s="2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200</v>
      </c>
      <c r="C8" s="2"/>
      <c r="D8" s="70" t="s">
        <v>201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202</v>
      </c>
      <c r="C9" s="2"/>
      <c r="D9" s="79" t="s">
        <v>203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1" t="s">
        <v>193</v>
      </c>
      <c r="C10" s="544"/>
      <c r="D10" s="2"/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3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5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1140" t="s">
        <v>4</v>
      </c>
      <c r="C15" s="1140"/>
      <c r="D15" s="1140"/>
      <c r="E15" s="1140"/>
      <c r="F15" s="1140"/>
      <c r="G15" s="1140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1140"/>
      <c r="C16" s="1140"/>
      <c r="D16" s="1140"/>
      <c r="E16" s="1140"/>
      <c r="F16" s="1140"/>
      <c r="G16" s="1140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1140"/>
      <c r="C17" s="1140"/>
      <c r="D17" s="1140"/>
      <c r="E17" s="1140"/>
      <c r="F17" s="1140"/>
      <c r="G17" s="1140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" t="s">
        <v>204</v>
      </c>
      <c r="C18" s="7"/>
      <c r="D18" s="7"/>
      <c r="E18" s="7"/>
      <c r="F18" s="193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1125" t="s">
        <v>205</v>
      </c>
      <c r="C19" s="1125"/>
      <c r="D19" s="1125"/>
      <c r="E19" s="1125"/>
      <c r="F19" s="1125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8" t="s">
        <v>206</v>
      </c>
      <c r="C20" s="545"/>
      <c r="D20" s="76"/>
      <c r="E20" s="76"/>
      <c r="F20" s="576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546"/>
      <c r="D21" s="140"/>
      <c r="E21" s="140"/>
      <c r="F21" s="576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546"/>
      <c r="D22" s="140"/>
      <c r="E22" s="140"/>
      <c r="F22" s="576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31">
      <c r="B23" s="477" t="s">
        <v>207</v>
      </c>
      <c r="C23" s="11"/>
      <c r="D23" s="11"/>
      <c r="I23" s="168"/>
      <c r="M23" s="204"/>
      <c r="N23" s="204"/>
      <c r="O23" s="202"/>
      <c r="P23" s="205"/>
      <c r="Q23" s="520"/>
    </row>
    <row r="24" spans="2:29" s="210" customFormat="1" ht="52">
      <c r="B24" s="478" t="s">
        <v>208</v>
      </c>
      <c r="C24" s="547" t="s">
        <v>319</v>
      </c>
      <c r="D24" s="14" t="s">
        <v>10</v>
      </c>
      <c r="E24" s="14" t="s">
        <v>11</v>
      </c>
      <c r="F24" s="14" t="s">
        <v>209</v>
      </c>
      <c r="G24" s="207" t="s">
        <v>210</v>
      </c>
      <c r="H24" s="207" t="s">
        <v>211</v>
      </c>
      <c r="I24" s="208" t="s">
        <v>212</v>
      </c>
      <c r="J24" s="208" t="s">
        <v>213</v>
      </c>
      <c r="K24" s="208" t="s">
        <v>214</v>
      </c>
      <c r="L24" s="209"/>
      <c r="M24" s="207" t="s">
        <v>215</v>
      </c>
      <c r="N24" s="207" t="s">
        <v>216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79" t="s">
        <v>19</v>
      </c>
      <c r="C25" s="548" t="s">
        <v>320</v>
      </c>
      <c r="D25" s="121">
        <v>1</v>
      </c>
      <c r="E25" s="121">
        <v>1</v>
      </c>
      <c r="F25" s="121">
        <v>40</v>
      </c>
      <c r="G25" s="215">
        <f t="shared" ref="G25:G35" si="0">H25/720</f>
        <v>0.51591666666666669</v>
      </c>
      <c r="H25" s="216">
        <f t="shared" ref="H25:H35" si="1">D25*IAAS_vcpu_sunet_b_m+E25*IAAS_ram_sunet_b_m+F25*IAAS_ssd_SUNET</f>
        <v>371.46</v>
      </c>
      <c r="I25" s="217"/>
      <c r="J25" s="217"/>
      <c r="K25" s="217"/>
      <c r="L25" s="214" t="s">
        <v>60</v>
      </c>
      <c r="M25" s="218">
        <f>ROUNDUP(I25*H25,2)</f>
        <v>0</v>
      </c>
      <c r="N25" s="218">
        <f t="shared" ref="N25:N35" si="2">J25*D25*SW_win.ser.201X_SEK+K25*D25*SW_ms.sql.ser_SEK</f>
        <v>0</v>
      </c>
      <c r="P25" s="219"/>
      <c r="Q25" s="519"/>
      <c r="S25" s="522"/>
      <c r="U25" s="521"/>
    </row>
    <row r="26" spans="2:29" s="192" customFormat="1" ht="25.5" customHeight="1">
      <c r="B26" s="480" t="s">
        <v>20</v>
      </c>
      <c r="C26" s="549" t="s">
        <v>320</v>
      </c>
      <c r="D26" s="573">
        <v>1</v>
      </c>
      <c r="E26" s="573">
        <v>2</v>
      </c>
      <c r="F26" s="468">
        <v>40</v>
      </c>
      <c r="G26" s="221">
        <f t="shared" si="0"/>
        <v>0.62695833333333328</v>
      </c>
      <c r="H26" s="222">
        <f t="shared" si="1"/>
        <v>451.40999999999997</v>
      </c>
      <c r="I26" s="217"/>
      <c r="J26" s="217"/>
      <c r="K26" s="217"/>
      <c r="L26" s="220" t="s">
        <v>60</v>
      </c>
      <c r="M26" s="223">
        <f t="shared" ref="M26:M35" si="3">ROUNDUP(I26*H26,2)</f>
        <v>0</v>
      </c>
      <c r="N26" s="223">
        <f t="shared" si="2"/>
        <v>0</v>
      </c>
      <c r="P26" s="219"/>
      <c r="Q26" s="519"/>
      <c r="S26" s="522"/>
      <c r="T26" s="521"/>
    </row>
    <row r="27" spans="2:29" s="192" customFormat="1" ht="25.5" customHeight="1">
      <c r="B27" s="479" t="s">
        <v>21</v>
      </c>
      <c r="C27" s="548" t="s">
        <v>320</v>
      </c>
      <c r="D27" s="121">
        <v>2</v>
      </c>
      <c r="E27" s="121">
        <v>4</v>
      </c>
      <c r="F27" s="121">
        <v>40</v>
      </c>
      <c r="G27" s="215">
        <f t="shared" si="0"/>
        <v>0.99424999999999986</v>
      </c>
      <c r="H27" s="216">
        <f t="shared" si="1"/>
        <v>715.8599999999999</v>
      </c>
      <c r="I27" s="217"/>
      <c r="J27" s="217"/>
      <c r="K27" s="217"/>
      <c r="L27" s="214" t="s">
        <v>60</v>
      </c>
      <c r="M27" s="218">
        <f t="shared" si="3"/>
        <v>0</v>
      </c>
      <c r="N27" s="218">
        <f t="shared" si="2"/>
        <v>0</v>
      </c>
      <c r="O27" s="224"/>
      <c r="P27" s="219"/>
      <c r="Q27" s="519"/>
      <c r="S27" s="522"/>
      <c r="T27" s="521"/>
    </row>
    <row r="28" spans="2:29" s="192" customFormat="1" ht="25.5" customHeight="1">
      <c r="B28" s="480" t="s">
        <v>22</v>
      </c>
      <c r="C28" s="549" t="s">
        <v>320</v>
      </c>
      <c r="D28" s="573">
        <v>4</v>
      </c>
      <c r="E28" s="573">
        <v>8</v>
      </c>
      <c r="F28" s="468">
        <v>40</v>
      </c>
      <c r="G28" s="221">
        <f t="shared" si="0"/>
        <v>1.7288333333333332</v>
      </c>
      <c r="H28" s="222">
        <f t="shared" si="1"/>
        <v>1244.76</v>
      </c>
      <c r="I28" s="217"/>
      <c r="J28" s="217"/>
      <c r="K28" s="217"/>
      <c r="L28" s="220" t="s">
        <v>60</v>
      </c>
      <c r="M28" s="223">
        <f t="shared" si="3"/>
        <v>0</v>
      </c>
      <c r="N28" s="223">
        <f t="shared" si="2"/>
        <v>0</v>
      </c>
      <c r="P28" s="219"/>
      <c r="Q28" s="519"/>
      <c r="S28" s="522"/>
      <c r="T28" s="521"/>
    </row>
    <row r="29" spans="2:29" s="192" customFormat="1" ht="25.5" customHeight="1">
      <c r="B29" s="479" t="s">
        <v>23</v>
      </c>
      <c r="C29" s="548" t="s">
        <v>320</v>
      </c>
      <c r="D29" s="121">
        <v>8</v>
      </c>
      <c r="E29" s="121">
        <v>16</v>
      </c>
      <c r="F29" s="121">
        <v>40</v>
      </c>
      <c r="G29" s="215">
        <f t="shared" si="0"/>
        <v>3.198</v>
      </c>
      <c r="H29" s="216">
        <f t="shared" si="1"/>
        <v>2302.56</v>
      </c>
      <c r="I29" s="217"/>
      <c r="J29" s="217"/>
      <c r="K29" s="217"/>
      <c r="L29" s="214" t="s">
        <v>60</v>
      </c>
      <c r="M29" s="218">
        <f t="shared" si="3"/>
        <v>0</v>
      </c>
      <c r="N29" s="218">
        <f t="shared" si="2"/>
        <v>0</v>
      </c>
      <c r="P29" s="219"/>
      <c r="Q29" s="519"/>
      <c r="S29" s="522"/>
    </row>
    <row r="30" spans="2:29" s="192" customFormat="1" ht="25.5" customHeight="1">
      <c r="B30" s="480" t="s">
        <v>24</v>
      </c>
      <c r="C30" s="549" t="s">
        <v>320</v>
      </c>
      <c r="D30" s="573">
        <v>16</v>
      </c>
      <c r="E30" s="573">
        <v>32</v>
      </c>
      <c r="F30" s="468">
        <v>40</v>
      </c>
      <c r="G30" s="221">
        <f t="shared" si="0"/>
        <v>6.136333333333333</v>
      </c>
      <c r="H30" s="222">
        <f t="shared" si="1"/>
        <v>4418.16</v>
      </c>
      <c r="I30" s="217"/>
      <c r="J30" s="217"/>
      <c r="K30" s="217"/>
      <c r="L30" s="220" t="s">
        <v>60</v>
      </c>
      <c r="M30" s="223">
        <f t="shared" si="3"/>
        <v>0</v>
      </c>
      <c r="N30" s="223">
        <f t="shared" si="2"/>
        <v>0</v>
      </c>
      <c r="P30" s="219"/>
      <c r="Q30" s="519"/>
      <c r="S30" s="522"/>
    </row>
    <row r="31" spans="2:29" s="192" customFormat="1" ht="25.5" customHeight="1">
      <c r="B31" s="479" t="s">
        <v>25</v>
      </c>
      <c r="C31" s="548" t="s">
        <v>320</v>
      </c>
      <c r="D31" s="121">
        <v>1</v>
      </c>
      <c r="E31" s="121">
        <v>4</v>
      </c>
      <c r="F31" s="121">
        <v>40</v>
      </c>
      <c r="G31" s="215">
        <f t="shared" si="0"/>
        <v>0.84904166666666658</v>
      </c>
      <c r="H31" s="216">
        <f t="shared" si="1"/>
        <v>611.30999999999995</v>
      </c>
      <c r="I31" s="217"/>
      <c r="J31" s="217"/>
      <c r="K31" s="217"/>
      <c r="L31" s="214" t="s">
        <v>60</v>
      </c>
      <c r="M31" s="218">
        <f t="shared" si="3"/>
        <v>0</v>
      </c>
      <c r="N31" s="218">
        <f t="shared" si="2"/>
        <v>0</v>
      </c>
      <c r="P31" s="219"/>
      <c r="Q31" s="519"/>
    </row>
    <row r="32" spans="2:29" s="192" customFormat="1" ht="25.5" customHeight="1">
      <c r="B32" s="480" t="s">
        <v>26</v>
      </c>
      <c r="C32" s="549" t="s">
        <v>320</v>
      </c>
      <c r="D32" s="573">
        <v>2</v>
      </c>
      <c r="E32" s="573">
        <v>8</v>
      </c>
      <c r="F32" s="468">
        <v>40</v>
      </c>
      <c r="G32" s="221">
        <f t="shared" si="0"/>
        <v>1.4384166666666667</v>
      </c>
      <c r="H32" s="222">
        <f t="shared" si="1"/>
        <v>1035.6600000000001</v>
      </c>
      <c r="I32" s="217"/>
      <c r="J32" s="217"/>
      <c r="K32" s="217"/>
      <c r="L32" s="220" t="s">
        <v>60</v>
      </c>
      <c r="M32" s="223">
        <f t="shared" si="3"/>
        <v>0</v>
      </c>
      <c r="N32" s="223">
        <f t="shared" si="2"/>
        <v>0</v>
      </c>
      <c r="P32" s="219"/>
      <c r="Q32" s="519"/>
    </row>
    <row r="33" spans="2:23" s="192" customFormat="1" ht="25.5" customHeight="1">
      <c r="B33" s="479" t="s">
        <v>27</v>
      </c>
      <c r="C33" s="548" t="s">
        <v>320</v>
      </c>
      <c r="D33" s="121">
        <v>4</v>
      </c>
      <c r="E33" s="121">
        <v>16</v>
      </c>
      <c r="F33" s="121">
        <v>40</v>
      </c>
      <c r="G33" s="215">
        <f t="shared" si="0"/>
        <v>2.6171666666666669</v>
      </c>
      <c r="H33" s="216">
        <f t="shared" si="1"/>
        <v>1884.3600000000001</v>
      </c>
      <c r="I33" s="217"/>
      <c r="J33" s="217"/>
      <c r="K33" s="217"/>
      <c r="L33" s="214" t="s">
        <v>60</v>
      </c>
      <c r="M33" s="218">
        <f t="shared" si="3"/>
        <v>0</v>
      </c>
      <c r="N33" s="218">
        <f t="shared" si="2"/>
        <v>0</v>
      </c>
      <c r="P33" s="219"/>
      <c r="Q33" s="519"/>
    </row>
    <row r="34" spans="2:23" s="192" customFormat="1" ht="25.5" customHeight="1">
      <c r="B34" s="480" t="s">
        <v>28</v>
      </c>
      <c r="C34" s="549" t="s">
        <v>320</v>
      </c>
      <c r="D34" s="573">
        <v>8</v>
      </c>
      <c r="E34" s="573">
        <v>32</v>
      </c>
      <c r="F34" s="468">
        <v>40</v>
      </c>
      <c r="G34" s="221">
        <f t="shared" si="0"/>
        <v>4.9746666666666668</v>
      </c>
      <c r="H34" s="222">
        <f t="shared" si="1"/>
        <v>3581.76</v>
      </c>
      <c r="I34" s="217"/>
      <c r="J34" s="217"/>
      <c r="K34" s="217"/>
      <c r="L34" s="220" t="s">
        <v>60</v>
      </c>
      <c r="M34" s="223">
        <f t="shared" si="3"/>
        <v>0</v>
      </c>
      <c r="N34" s="223">
        <f t="shared" si="2"/>
        <v>0</v>
      </c>
      <c r="P34" s="219"/>
      <c r="Q34" s="519"/>
      <c r="U34" s="200"/>
      <c r="V34" s="200"/>
      <c r="W34" s="200"/>
    </row>
    <row r="35" spans="2:23" s="192" customFormat="1" ht="25.5" customHeight="1">
      <c r="B35" s="479" t="s">
        <v>29</v>
      </c>
      <c r="C35" s="548" t="s">
        <v>320</v>
      </c>
      <c r="D35" s="121">
        <v>16</v>
      </c>
      <c r="E35" s="121">
        <v>65</v>
      </c>
      <c r="F35" s="121">
        <v>40</v>
      </c>
      <c r="G35" s="215">
        <f t="shared" si="0"/>
        <v>9.8007083333333345</v>
      </c>
      <c r="H35" s="216">
        <f t="shared" si="1"/>
        <v>7056.51</v>
      </c>
      <c r="I35" s="217"/>
      <c r="J35" s="217"/>
      <c r="K35" s="217"/>
      <c r="L35" s="214" t="s">
        <v>60</v>
      </c>
      <c r="M35" s="218">
        <f t="shared" si="3"/>
        <v>0</v>
      </c>
      <c r="N35" s="218">
        <f t="shared" si="2"/>
        <v>0</v>
      </c>
      <c r="P35" s="219"/>
      <c r="U35" s="200"/>
      <c r="V35" s="200"/>
      <c r="W35" s="200"/>
    </row>
    <row r="36" spans="2:23" ht="25.5" customHeight="1">
      <c r="B36" s="481" t="s">
        <v>85</v>
      </c>
      <c r="C36" s="550"/>
      <c r="D36" s="89"/>
      <c r="E36" s="89"/>
      <c r="F36" s="225"/>
      <c r="G36" s="226"/>
      <c r="H36" s="227"/>
      <c r="I36" s="300" t="str">
        <f>SUM(I25:I35)&amp;" st"</f>
        <v>0 st</v>
      </c>
      <c r="J36" s="300" t="str">
        <f>SUM(J25:J35)&amp;" st"</f>
        <v>0 st</v>
      </c>
      <c r="K36" s="300" t="str">
        <f>SUM(K25:K35)&amp;" st"</f>
        <v>0 st</v>
      </c>
      <c r="L36" s="163"/>
      <c r="M36" s="593">
        <f>SUM(M25:M35)</f>
        <v>0</v>
      </c>
      <c r="N36" s="90">
        <f>SUM(N25:N35)</f>
        <v>0</v>
      </c>
      <c r="O36" s="202"/>
      <c r="P36" s="205"/>
      <c r="U36" s="200"/>
      <c r="V36" s="200"/>
      <c r="W36" s="228"/>
    </row>
    <row r="37" spans="2:23" ht="25.5" customHeight="1">
      <c r="B37" s="482"/>
      <c r="C37" s="551"/>
      <c r="D37" s="21"/>
      <c r="E37" s="21"/>
      <c r="F37" s="229"/>
      <c r="G37" s="230"/>
      <c r="H37" s="231"/>
      <c r="I37" s="50"/>
      <c r="J37" s="50"/>
      <c r="K37" s="50"/>
      <c r="L37" s="232"/>
      <c r="M37" s="50"/>
      <c r="N37" s="51"/>
      <c r="O37" s="202"/>
      <c r="P37" s="205"/>
      <c r="U37" s="200"/>
      <c r="V37" s="200"/>
      <c r="W37" s="228"/>
    </row>
    <row r="38" spans="2:23" ht="25.5" customHeight="1">
      <c r="B38" s="482"/>
      <c r="C38" s="551"/>
      <c r="D38" s="21"/>
      <c r="E38" s="21"/>
      <c r="F38" s="229"/>
      <c r="G38" s="230"/>
      <c r="H38" s="231"/>
      <c r="I38" s="50"/>
      <c r="J38" s="50"/>
      <c r="K38" s="50"/>
      <c r="L38" s="232"/>
      <c r="M38" s="50"/>
      <c r="N38" s="51"/>
      <c r="O38" s="202"/>
      <c r="P38" s="205"/>
      <c r="U38" s="200"/>
      <c r="V38" s="200"/>
      <c r="W38" s="228"/>
    </row>
    <row r="39" spans="2:23" s="237" customFormat="1" ht="31">
      <c r="B39" s="447" t="s">
        <v>217</v>
      </c>
      <c r="C39" s="111"/>
      <c r="D39" s="111"/>
      <c r="E39" s="111"/>
      <c r="F39" s="233"/>
      <c r="G39" s="233"/>
      <c r="H39" s="234"/>
      <c r="I39" s="235"/>
      <c r="J39" s="235"/>
      <c r="K39" s="235"/>
      <c r="L39" s="235"/>
      <c r="M39" s="236"/>
      <c r="N39" s="236"/>
      <c r="P39" s="238"/>
      <c r="U39" s="239"/>
      <c r="V39" s="239"/>
      <c r="W39" s="240"/>
    </row>
    <row r="40" spans="2:23" s="241" customFormat="1" ht="52">
      <c r="B40" s="478" t="s">
        <v>208</v>
      </c>
      <c r="C40" s="547" t="s">
        <v>319</v>
      </c>
      <c r="D40" s="14" t="s">
        <v>10</v>
      </c>
      <c r="E40" s="14" t="s">
        <v>11</v>
      </c>
      <c r="F40" s="14" t="s">
        <v>209</v>
      </c>
      <c r="G40" s="207" t="s">
        <v>210</v>
      </c>
      <c r="H40" s="207" t="s">
        <v>211</v>
      </c>
      <c r="I40" s="208" t="s">
        <v>212</v>
      </c>
      <c r="J40" s="208" t="s">
        <v>213</v>
      </c>
      <c r="K40" s="208" t="s">
        <v>214</v>
      </c>
      <c r="L40" s="209"/>
      <c r="M40" s="207" t="s">
        <v>215</v>
      </c>
      <c r="N40" s="207" t="s">
        <v>216</v>
      </c>
      <c r="P40" s="205"/>
      <c r="Q40" s="202"/>
      <c r="R40" s="202"/>
      <c r="S40" s="202"/>
      <c r="T40" s="202"/>
      <c r="U40" s="200"/>
      <c r="V40" s="200"/>
      <c r="W40" s="228"/>
    </row>
    <row r="41" spans="2:23" s="192" customFormat="1" ht="25.5" customHeight="1">
      <c r="B41" s="484" t="s">
        <v>33</v>
      </c>
      <c r="C41" s="552" t="s">
        <v>320</v>
      </c>
      <c r="D41" s="570">
        <v>1</v>
      </c>
      <c r="E41" s="570">
        <v>1</v>
      </c>
      <c r="F41" s="101">
        <v>10</v>
      </c>
      <c r="G41" s="247">
        <f>H41/720</f>
        <v>0.24770833333333336</v>
      </c>
      <c r="H41" s="248">
        <f t="shared" ref="H41:H59" si="4">D41*IAAS_vcpu_SUNET+E41*IAAS_ram_SUNET+F41*IAAS_nvme_SUNET</f>
        <v>178.35000000000002</v>
      </c>
      <c r="I41" s="217"/>
      <c r="J41" s="217"/>
      <c r="K41" s="217"/>
      <c r="L41" s="249" t="s">
        <v>60</v>
      </c>
      <c r="M41" s="218">
        <f t="shared" ref="M41:M59" si="5">ROUNDUP(I41*H41,2)</f>
        <v>0</v>
      </c>
      <c r="N41" s="218">
        <f t="shared" ref="N41:N59" si="6">J41*D41*SW_win.ser.201X_SEK+K41*D41*SW_ms.sql.ser_SEK</f>
        <v>0</v>
      </c>
      <c r="P41" s="219"/>
      <c r="U41" s="200"/>
      <c r="W41" s="200"/>
    </row>
    <row r="42" spans="2:23" s="192" customFormat="1" ht="25.5" customHeight="1">
      <c r="B42" s="485" t="s">
        <v>34</v>
      </c>
      <c r="C42" s="553" t="s">
        <v>320</v>
      </c>
      <c r="D42" s="572">
        <v>4</v>
      </c>
      <c r="E42" s="572">
        <v>8</v>
      </c>
      <c r="F42" s="120">
        <v>250</v>
      </c>
      <c r="G42" s="243">
        <f t="shared" ref="G42:G59" si="7">H42/720</f>
        <v>1.7254166666666668</v>
      </c>
      <c r="H42" s="244">
        <f t="shared" si="4"/>
        <v>1242.3000000000002</v>
      </c>
      <c r="I42" s="217"/>
      <c r="J42" s="217"/>
      <c r="K42" s="217"/>
      <c r="L42" s="251" t="s">
        <v>60</v>
      </c>
      <c r="M42" s="223">
        <f t="shared" si="5"/>
        <v>0</v>
      </c>
      <c r="N42" s="223">
        <f t="shared" si="6"/>
        <v>0</v>
      </c>
      <c r="P42" s="219"/>
      <c r="U42" s="200"/>
      <c r="W42" s="200"/>
    </row>
    <row r="43" spans="2:23" s="192" customFormat="1" ht="25.5" customHeight="1">
      <c r="B43" s="484" t="s">
        <v>35</v>
      </c>
      <c r="C43" s="552" t="s">
        <v>320</v>
      </c>
      <c r="D43" s="570">
        <v>8</v>
      </c>
      <c r="E43" s="570">
        <v>16</v>
      </c>
      <c r="F43" s="101">
        <v>250</v>
      </c>
      <c r="G43" s="247">
        <f t="shared" si="7"/>
        <v>3.0237500000000006</v>
      </c>
      <c r="H43" s="248">
        <f t="shared" si="4"/>
        <v>2177.1000000000004</v>
      </c>
      <c r="I43" s="217"/>
      <c r="J43" s="217"/>
      <c r="K43" s="217"/>
      <c r="L43" s="249" t="s">
        <v>60</v>
      </c>
      <c r="M43" s="218">
        <f t="shared" si="5"/>
        <v>0</v>
      </c>
      <c r="N43" s="218">
        <f t="shared" si="6"/>
        <v>0</v>
      </c>
      <c r="P43" s="219"/>
      <c r="U43" s="200"/>
      <c r="W43" s="200"/>
    </row>
    <row r="44" spans="2:23" s="192" customFormat="1" ht="25.5" customHeight="1">
      <c r="B44" s="485" t="s">
        <v>36</v>
      </c>
      <c r="C44" s="553" t="s">
        <v>320</v>
      </c>
      <c r="D44" s="572">
        <v>16</v>
      </c>
      <c r="E44" s="572">
        <v>32</v>
      </c>
      <c r="F44" s="120">
        <v>250</v>
      </c>
      <c r="G44" s="243">
        <f t="shared" si="7"/>
        <v>5.6204166666666673</v>
      </c>
      <c r="H44" s="244">
        <f t="shared" si="4"/>
        <v>4046.7000000000003</v>
      </c>
      <c r="I44" s="217"/>
      <c r="J44" s="217"/>
      <c r="K44" s="217"/>
      <c r="L44" s="251" t="s">
        <v>60</v>
      </c>
      <c r="M44" s="223">
        <f t="shared" si="5"/>
        <v>0</v>
      </c>
      <c r="N44" s="223">
        <f t="shared" si="6"/>
        <v>0</v>
      </c>
      <c r="P44" s="219"/>
      <c r="U44" s="200"/>
      <c r="W44" s="200"/>
    </row>
    <row r="45" spans="2:23" s="192" customFormat="1" ht="25.5" customHeight="1">
      <c r="B45" s="484" t="s">
        <v>37</v>
      </c>
      <c r="C45" s="552" t="s">
        <v>320</v>
      </c>
      <c r="D45" s="570">
        <v>16</v>
      </c>
      <c r="E45" s="570">
        <v>32</v>
      </c>
      <c r="F45" s="101">
        <v>500</v>
      </c>
      <c r="G45" s="243">
        <f t="shared" si="7"/>
        <v>6.0475000000000012</v>
      </c>
      <c r="H45" s="248">
        <f t="shared" si="4"/>
        <v>4354.2000000000007</v>
      </c>
      <c r="I45" s="217"/>
      <c r="J45" s="217"/>
      <c r="K45" s="217"/>
      <c r="L45" s="249" t="s">
        <v>60</v>
      </c>
      <c r="M45" s="218">
        <f t="shared" si="5"/>
        <v>0</v>
      </c>
      <c r="N45" s="218">
        <f t="shared" si="6"/>
        <v>0</v>
      </c>
      <c r="P45" s="219"/>
      <c r="U45" s="200"/>
      <c r="W45" s="200"/>
    </row>
    <row r="46" spans="2:23" s="192" customFormat="1" ht="25.5" customHeight="1">
      <c r="B46" s="485" t="s">
        <v>38</v>
      </c>
      <c r="C46" s="553" t="s">
        <v>320</v>
      </c>
      <c r="D46" s="572">
        <v>16</v>
      </c>
      <c r="E46" s="572">
        <v>32</v>
      </c>
      <c r="F46" s="120">
        <v>1000</v>
      </c>
      <c r="G46" s="243">
        <f t="shared" si="7"/>
        <v>6.9016666666666673</v>
      </c>
      <c r="H46" s="244">
        <f t="shared" si="4"/>
        <v>4969.2000000000007</v>
      </c>
      <c r="I46" s="217"/>
      <c r="J46" s="217"/>
      <c r="K46" s="217"/>
      <c r="L46" s="251" t="s">
        <v>60</v>
      </c>
      <c r="M46" s="223">
        <f t="shared" si="5"/>
        <v>0</v>
      </c>
      <c r="N46" s="223">
        <f t="shared" si="6"/>
        <v>0</v>
      </c>
      <c r="P46" s="219"/>
      <c r="U46" s="200"/>
      <c r="W46" s="200"/>
    </row>
    <row r="47" spans="2:23" s="192" customFormat="1" ht="25.5" customHeight="1">
      <c r="B47" s="484" t="s">
        <v>39</v>
      </c>
      <c r="C47" s="552" t="s">
        <v>320</v>
      </c>
      <c r="D47" s="570">
        <v>32</v>
      </c>
      <c r="E47" s="570">
        <v>65</v>
      </c>
      <c r="F47" s="101">
        <v>250</v>
      </c>
      <c r="G47" s="247">
        <f t="shared" si="7"/>
        <v>10.907708333333334</v>
      </c>
      <c r="H47" s="248">
        <f t="shared" si="4"/>
        <v>7853.55</v>
      </c>
      <c r="I47" s="217"/>
      <c r="J47" s="217"/>
      <c r="K47" s="217"/>
      <c r="L47" s="249" t="s">
        <v>60</v>
      </c>
      <c r="M47" s="218">
        <f t="shared" si="5"/>
        <v>0</v>
      </c>
      <c r="N47" s="218">
        <f t="shared" si="6"/>
        <v>0</v>
      </c>
      <c r="P47" s="219"/>
      <c r="U47" s="200"/>
      <c r="W47" s="200"/>
    </row>
    <row r="48" spans="2:23" s="192" customFormat="1" ht="25.5" customHeight="1">
      <c r="B48" s="485" t="s">
        <v>40</v>
      </c>
      <c r="C48" s="553" t="s">
        <v>320</v>
      </c>
      <c r="D48" s="572">
        <v>32</v>
      </c>
      <c r="E48" s="572">
        <v>65</v>
      </c>
      <c r="F48" s="120">
        <v>500</v>
      </c>
      <c r="G48" s="243">
        <f t="shared" si="7"/>
        <v>11.334791666666668</v>
      </c>
      <c r="H48" s="244">
        <f t="shared" si="4"/>
        <v>8161.05</v>
      </c>
      <c r="I48" s="217"/>
      <c r="J48" s="217"/>
      <c r="K48" s="217"/>
      <c r="L48" s="251" t="s">
        <v>60</v>
      </c>
      <c r="M48" s="223">
        <f t="shared" si="5"/>
        <v>0</v>
      </c>
      <c r="N48" s="223">
        <f t="shared" si="6"/>
        <v>0</v>
      </c>
      <c r="P48" s="219"/>
      <c r="U48" s="200"/>
      <c r="W48" s="200"/>
    </row>
    <row r="49" spans="2:24" s="192" customFormat="1" ht="25.5" customHeight="1">
      <c r="B49" s="484" t="s">
        <v>41</v>
      </c>
      <c r="C49" s="552" t="s">
        <v>320</v>
      </c>
      <c r="D49" s="570">
        <v>32</v>
      </c>
      <c r="E49" s="570">
        <v>65</v>
      </c>
      <c r="F49" s="101">
        <v>1000</v>
      </c>
      <c r="G49" s="247">
        <f t="shared" si="7"/>
        <v>12.188958333333332</v>
      </c>
      <c r="H49" s="248">
        <f t="shared" si="4"/>
        <v>8776.0499999999993</v>
      </c>
      <c r="I49" s="217"/>
      <c r="J49" s="217"/>
      <c r="K49" s="217"/>
      <c r="L49" s="249" t="s">
        <v>60</v>
      </c>
      <c r="M49" s="218">
        <f t="shared" si="5"/>
        <v>0</v>
      </c>
      <c r="N49" s="218">
        <f t="shared" si="6"/>
        <v>0</v>
      </c>
      <c r="P49" s="219"/>
      <c r="U49" s="200"/>
      <c r="W49" s="200"/>
    </row>
    <row r="50" spans="2:24" s="192" customFormat="1" ht="25.5" customHeight="1">
      <c r="B50" s="485" t="s">
        <v>42</v>
      </c>
      <c r="C50" s="553" t="s">
        <v>320</v>
      </c>
      <c r="D50" s="572">
        <v>4</v>
      </c>
      <c r="E50" s="572">
        <v>16</v>
      </c>
      <c r="F50" s="120">
        <v>250</v>
      </c>
      <c r="G50" s="243">
        <f t="shared" si="7"/>
        <v>2.4770833333333333</v>
      </c>
      <c r="H50" s="244">
        <f t="shared" si="4"/>
        <v>1783.5</v>
      </c>
      <c r="I50" s="217"/>
      <c r="J50" s="217"/>
      <c r="K50" s="217"/>
      <c r="L50" s="251" t="s">
        <v>60</v>
      </c>
      <c r="M50" s="223">
        <f t="shared" si="5"/>
        <v>0</v>
      </c>
      <c r="N50" s="223">
        <f t="shared" si="6"/>
        <v>0</v>
      </c>
      <c r="P50" s="219"/>
      <c r="U50" s="200"/>
      <c r="W50" s="200"/>
    </row>
    <row r="51" spans="2:24" s="192" customFormat="1" ht="25.5" customHeight="1">
      <c r="B51" s="484" t="s">
        <v>43</v>
      </c>
      <c r="C51" s="552" t="s">
        <v>320</v>
      </c>
      <c r="D51" s="570">
        <v>8</v>
      </c>
      <c r="E51" s="570">
        <v>32</v>
      </c>
      <c r="F51" s="101">
        <v>250</v>
      </c>
      <c r="G51" s="247">
        <f t="shared" si="7"/>
        <v>4.5270833333333336</v>
      </c>
      <c r="H51" s="248">
        <f t="shared" si="4"/>
        <v>3259.5</v>
      </c>
      <c r="I51" s="217"/>
      <c r="J51" s="217"/>
      <c r="K51" s="217"/>
      <c r="L51" s="249" t="s">
        <v>60</v>
      </c>
      <c r="M51" s="218">
        <f t="shared" si="5"/>
        <v>0</v>
      </c>
      <c r="N51" s="218">
        <f t="shared" si="6"/>
        <v>0</v>
      </c>
      <c r="P51" s="219"/>
      <c r="U51" s="200"/>
      <c r="W51" s="200"/>
    </row>
    <row r="52" spans="2:24" s="192" customFormat="1" ht="25.5" customHeight="1">
      <c r="B52" s="485" t="s">
        <v>44</v>
      </c>
      <c r="C52" s="553" t="s">
        <v>320</v>
      </c>
      <c r="D52" s="572">
        <v>8</v>
      </c>
      <c r="E52" s="572">
        <v>32</v>
      </c>
      <c r="F52" s="120">
        <v>500</v>
      </c>
      <c r="G52" s="243">
        <f t="shared" si="7"/>
        <v>4.9541666666666666</v>
      </c>
      <c r="H52" s="244">
        <f t="shared" si="4"/>
        <v>3567</v>
      </c>
      <c r="I52" s="217"/>
      <c r="J52" s="217"/>
      <c r="K52" s="217"/>
      <c r="L52" s="251" t="s">
        <v>60</v>
      </c>
      <c r="M52" s="223">
        <f t="shared" si="5"/>
        <v>0</v>
      </c>
      <c r="N52" s="223">
        <f t="shared" si="6"/>
        <v>0</v>
      </c>
      <c r="P52" s="219"/>
      <c r="U52" s="200"/>
      <c r="W52" s="200"/>
    </row>
    <row r="53" spans="2:24" s="192" customFormat="1" ht="25.5" customHeight="1">
      <c r="B53" s="484" t="s">
        <v>45</v>
      </c>
      <c r="C53" s="552" t="s">
        <v>320</v>
      </c>
      <c r="D53" s="570">
        <v>8</v>
      </c>
      <c r="E53" s="570">
        <v>32</v>
      </c>
      <c r="F53" s="101">
        <v>1000</v>
      </c>
      <c r="G53" s="247">
        <f t="shared" si="7"/>
        <v>5.8083333333333336</v>
      </c>
      <c r="H53" s="248">
        <f t="shared" si="4"/>
        <v>4182</v>
      </c>
      <c r="I53" s="217"/>
      <c r="J53" s="217"/>
      <c r="K53" s="217"/>
      <c r="L53" s="249" t="s">
        <v>60</v>
      </c>
      <c r="M53" s="218">
        <f t="shared" si="5"/>
        <v>0</v>
      </c>
      <c r="N53" s="218">
        <f t="shared" si="6"/>
        <v>0</v>
      </c>
      <c r="P53" s="219"/>
      <c r="U53" s="200"/>
      <c r="W53" s="200"/>
    </row>
    <row r="54" spans="2:24" s="192" customFormat="1" ht="25.5" customHeight="1">
      <c r="B54" s="485" t="s">
        <v>46</v>
      </c>
      <c r="C54" s="553" t="s">
        <v>320</v>
      </c>
      <c r="D54" s="572">
        <v>16</v>
      </c>
      <c r="E54" s="572">
        <v>65</v>
      </c>
      <c r="F54" s="120">
        <v>250</v>
      </c>
      <c r="G54" s="243">
        <f t="shared" si="7"/>
        <v>8.7210416666666664</v>
      </c>
      <c r="H54" s="244">
        <f t="shared" si="4"/>
        <v>6279.15</v>
      </c>
      <c r="I54" s="217"/>
      <c r="J54" s="217"/>
      <c r="K54" s="217"/>
      <c r="L54" s="251" t="s">
        <v>60</v>
      </c>
      <c r="M54" s="223">
        <f t="shared" si="5"/>
        <v>0</v>
      </c>
      <c r="N54" s="223">
        <f t="shared" si="6"/>
        <v>0</v>
      </c>
      <c r="P54" s="219"/>
      <c r="U54" s="200"/>
      <c r="W54" s="200"/>
    </row>
    <row r="55" spans="2:24" s="192" customFormat="1" ht="25.5" customHeight="1">
      <c r="B55" s="484" t="s">
        <v>47</v>
      </c>
      <c r="C55" s="552" t="s">
        <v>320</v>
      </c>
      <c r="D55" s="570">
        <v>16</v>
      </c>
      <c r="E55" s="570">
        <v>65</v>
      </c>
      <c r="F55" s="101">
        <v>500</v>
      </c>
      <c r="G55" s="247">
        <f t="shared" si="7"/>
        <v>9.1481250000000003</v>
      </c>
      <c r="H55" s="248">
        <f t="shared" si="4"/>
        <v>6586.65</v>
      </c>
      <c r="I55" s="217"/>
      <c r="J55" s="217"/>
      <c r="K55" s="217"/>
      <c r="L55" s="249" t="s">
        <v>60</v>
      </c>
      <c r="M55" s="218">
        <f t="shared" si="5"/>
        <v>0</v>
      </c>
      <c r="N55" s="218">
        <f t="shared" si="6"/>
        <v>0</v>
      </c>
      <c r="P55" s="219"/>
      <c r="U55" s="200"/>
      <c r="W55" s="200"/>
    </row>
    <row r="56" spans="2:24" s="192" customFormat="1" ht="25.5" customHeight="1">
      <c r="B56" s="485" t="s">
        <v>48</v>
      </c>
      <c r="C56" s="553" t="s">
        <v>320</v>
      </c>
      <c r="D56" s="572">
        <v>16</v>
      </c>
      <c r="E56" s="572">
        <v>65</v>
      </c>
      <c r="F56" s="120">
        <v>1000</v>
      </c>
      <c r="G56" s="243">
        <f t="shared" si="7"/>
        <v>10.002291666666666</v>
      </c>
      <c r="H56" s="244">
        <f t="shared" si="4"/>
        <v>7201.65</v>
      </c>
      <c r="I56" s="217"/>
      <c r="J56" s="217"/>
      <c r="K56" s="217"/>
      <c r="L56" s="251" t="s">
        <v>60</v>
      </c>
      <c r="M56" s="223">
        <f t="shared" si="5"/>
        <v>0</v>
      </c>
      <c r="N56" s="223">
        <f t="shared" si="6"/>
        <v>0</v>
      </c>
      <c r="P56" s="219"/>
      <c r="U56" s="200"/>
      <c r="W56" s="200"/>
    </row>
    <row r="57" spans="2:24" s="192" customFormat="1" ht="25.5" customHeight="1">
      <c r="B57" s="484" t="s">
        <v>49</v>
      </c>
      <c r="C57" s="552" t="s">
        <v>320</v>
      </c>
      <c r="D57" s="570">
        <v>32</v>
      </c>
      <c r="E57" s="570">
        <v>131</v>
      </c>
      <c r="F57" s="101">
        <v>250</v>
      </c>
      <c r="G57" s="247">
        <f t="shared" si="7"/>
        <v>17.108958333333334</v>
      </c>
      <c r="H57" s="248">
        <f t="shared" si="4"/>
        <v>12318.45</v>
      </c>
      <c r="I57" s="217"/>
      <c r="J57" s="217"/>
      <c r="K57" s="217"/>
      <c r="L57" s="249" t="s">
        <v>60</v>
      </c>
      <c r="M57" s="218">
        <f t="shared" si="5"/>
        <v>0</v>
      </c>
      <c r="N57" s="218">
        <f t="shared" si="6"/>
        <v>0</v>
      </c>
      <c r="P57" s="219"/>
      <c r="U57" s="200"/>
      <c r="W57" s="200"/>
    </row>
    <row r="58" spans="2:24" s="192" customFormat="1" ht="25.5" customHeight="1">
      <c r="B58" s="485" t="s">
        <v>50</v>
      </c>
      <c r="C58" s="553" t="s">
        <v>320</v>
      </c>
      <c r="D58" s="572">
        <v>32</v>
      </c>
      <c r="E58" s="572">
        <v>131</v>
      </c>
      <c r="F58" s="120">
        <v>500</v>
      </c>
      <c r="G58" s="243">
        <f t="shared" si="7"/>
        <v>17.536041666666669</v>
      </c>
      <c r="H58" s="244">
        <f t="shared" si="4"/>
        <v>12625.95</v>
      </c>
      <c r="I58" s="217"/>
      <c r="J58" s="217"/>
      <c r="K58" s="217"/>
      <c r="L58" s="251" t="s">
        <v>60</v>
      </c>
      <c r="M58" s="223">
        <f t="shared" si="5"/>
        <v>0</v>
      </c>
      <c r="N58" s="223">
        <f t="shared" si="6"/>
        <v>0</v>
      </c>
      <c r="P58" s="219"/>
      <c r="U58" s="200"/>
      <c r="W58" s="200"/>
    </row>
    <row r="59" spans="2:24" s="192" customFormat="1" ht="25.5" customHeight="1">
      <c r="B59" s="484" t="s">
        <v>51</v>
      </c>
      <c r="C59" s="552" t="s">
        <v>320</v>
      </c>
      <c r="D59" s="570">
        <v>32</v>
      </c>
      <c r="E59" s="570">
        <v>131</v>
      </c>
      <c r="F59" s="101">
        <v>1000</v>
      </c>
      <c r="G59" s="247">
        <f t="shared" si="7"/>
        <v>18.390208333333334</v>
      </c>
      <c r="H59" s="248">
        <f t="shared" si="4"/>
        <v>13240.95</v>
      </c>
      <c r="I59" s="217"/>
      <c r="J59" s="217"/>
      <c r="K59" s="217"/>
      <c r="L59" s="249" t="s">
        <v>60</v>
      </c>
      <c r="M59" s="218">
        <f t="shared" si="5"/>
        <v>0</v>
      </c>
      <c r="N59" s="218">
        <f t="shared" si="6"/>
        <v>0</v>
      </c>
      <c r="P59" s="219"/>
      <c r="U59" s="200"/>
      <c r="W59" s="200"/>
    </row>
    <row r="60" spans="2:24" s="192" customFormat="1" ht="25.5" customHeight="1">
      <c r="B60" s="481" t="s">
        <v>85</v>
      </c>
      <c r="C60" s="550"/>
      <c r="D60" s="89"/>
      <c r="E60" s="89"/>
      <c r="F60" s="89"/>
      <c r="G60" s="226"/>
      <c r="H60" s="227"/>
      <c r="I60" s="162" t="str">
        <f>SUM(I41:I59)&amp;" st"</f>
        <v>0 st</v>
      </c>
      <c r="J60" s="162" t="str">
        <f>SUM(J41:J59)&amp;" st"</f>
        <v>0 st</v>
      </c>
      <c r="K60" s="162" t="str">
        <f>SUM(K41:K59)&amp;" st"</f>
        <v>0 st</v>
      </c>
      <c r="L60" s="163"/>
      <c r="M60" s="593">
        <f>SUM(M41:M59)</f>
        <v>0</v>
      </c>
      <c r="N60" s="90">
        <f>SUM(N41:N59)</f>
        <v>0</v>
      </c>
      <c r="P60" s="219"/>
      <c r="U60" s="200"/>
      <c r="W60" s="200"/>
    </row>
    <row r="61" spans="2:24" ht="25.5" customHeight="1">
      <c r="B61" s="486"/>
      <c r="C61" s="554"/>
      <c r="D61" s="19"/>
      <c r="E61" s="19"/>
      <c r="F61" s="252"/>
      <c r="G61" s="253"/>
      <c r="H61" s="254"/>
      <c r="I61" s="254"/>
      <c r="J61" s="254"/>
      <c r="K61" s="254"/>
      <c r="L61" s="252"/>
      <c r="M61" s="255"/>
      <c r="N61" s="255"/>
      <c r="O61" s="202"/>
      <c r="P61" s="205"/>
      <c r="Q61" s="192"/>
      <c r="U61" s="200"/>
      <c r="V61" s="200"/>
      <c r="W61" s="228"/>
    </row>
    <row r="62" spans="2:24" ht="25.5" customHeight="1">
      <c r="B62" s="486"/>
      <c r="C62" s="554"/>
      <c r="D62" s="19"/>
      <c r="E62" s="19"/>
      <c r="F62" s="252"/>
      <c r="G62" s="253"/>
      <c r="H62" s="254"/>
      <c r="I62" s="254"/>
      <c r="J62" s="254"/>
      <c r="K62" s="254"/>
      <c r="L62" s="252"/>
      <c r="M62" s="255"/>
      <c r="N62" s="255"/>
      <c r="O62" s="202"/>
      <c r="P62" s="205"/>
      <c r="Q62" s="192"/>
      <c r="U62" s="200"/>
      <c r="V62" s="200"/>
      <c r="W62" s="228"/>
    </row>
    <row r="63" spans="2:24" ht="25.5" customHeight="1">
      <c r="B63" s="487" t="s">
        <v>321</v>
      </c>
      <c r="C63" s="427"/>
      <c r="D63" s="427"/>
      <c r="E63" s="427"/>
      <c r="F63" s="427"/>
      <c r="G63" s="427"/>
      <c r="H63" s="256"/>
      <c r="I63" s="257"/>
      <c r="J63" s="257"/>
      <c r="K63" s="257"/>
      <c r="L63" s="257"/>
      <c r="M63" s="258"/>
      <c r="N63" s="258"/>
      <c r="O63" s="202"/>
      <c r="P63" s="205"/>
      <c r="U63" s="200"/>
      <c r="V63" s="200"/>
      <c r="W63" s="228"/>
    </row>
    <row r="64" spans="2:24" s="261" customFormat="1" ht="52">
      <c r="B64" s="478" t="s">
        <v>208</v>
      </c>
      <c r="C64" s="547" t="s">
        <v>319</v>
      </c>
      <c r="D64" s="14" t="s">
        <v>218</v>
      </c>
      <c r="E64" s="14" t="s">
        <v>11</v>
      </c>
      <c r="F64" s="102" t="s">
        <v>209</v>
      </c>
      <c r="G64" s="207" t="s">
        <v>210</v>
      </c>
      <c r="H64" s="207" t="s">
        <v>211</v>
      </c>
      <c r="I64" s="208" t="s">
        <v>212</v>
      </c>
      <c r="J64" s="208" t="s">
        <v>213</v>
      </c>
      <c r="K64" s="208" t="s">
        <v>214</v>
      </c>
      <c r="L64" s="209"/>
      <c r="M64" s="207" t="s">
        <v>215</v>
      </c>
      <c r="N64" s="207" t="s">
        <v>216</v>
      </c>
      <c r="O64" s="259"/>
      <c r="P64" s="260"/>
      <c r="Q64" s="259"/>
      <c r="R64" s="259"/>
      <c r="V64" s="262"/>
      <c r="W64" s="262"/>
      <c r="X64" s="263"/>
    </row>
    <row r="65" spans="2:24" s="261" customFormat="1" ht="25">
      <c r="B65" s="484" t="s">
        <v>322</v>
      </c>
      <c r="C65" s="552" t="s">
        <v>323</v>
      </c>
      <c r="D65" s="570">
        <v>1</v>
      </c>
      <c r="E65" s="570">
        <v>1</v>
      </c>
      <c r="F65" s="104">
        <v>10</v>
      </c>
      <c r="G65" s="465">
        <f t="shared" ref="G65:G81" si="8">H65/720</f>
        <v>0.2955416666666667</v>
      </c>
      <c r="H65" s="463">
        <f t="shared" ref="H65:H85" si="9">D65*IAAS_vcpu_SUNET+E65*IAAS_ram_SUNET+F65*IAAS_ssd_SUNET</f>
        <v>212.79000000000002</v>
      </c>
      <c r="I65" s="217"/>
      <c r="J65" s="217"/>
      <c r="K65" s="217"/>
      <c r="L65" s="249" t="s">
        <v>60</v>
      </c>
      <c r="M65" s="218">
        <f t="shared" ref="M65:M81" si="10">ROUNDUP(I65*H65,2)</f>
        <v>0</v>
      </c>
      <c r="N65" s="218">
        <f t="shared" ref="N65:N85" si="11">J65*D65*SW_win.ser.201X_SEK+K65*D65*SW_ms.sql.ser_SEK</f>
        <v>0</v>
      </c>
      <c r="O65" s="259"/>
      <c r="P65" s="260"/>
      <c r="Q65" s="259"/>
      <c r="R65" s="259"/>
      <c r="V65" s="262"/>
      <c r="W65" s="262"/>
      <c r="X65" s="263"/>
    </row>
    <row r="66" spans="2:24" s="261" customFormat="1" ht="25">
      <c r="B66" s="483" t="s">
        <v>324</v>
      </c>
      <c r="C66" s="555" t="s">
        <v>323</v>
      </c>
      <c r="D66" s="571">
        <v>1</v>
      </c>
      <c r="E66" s="571">
        <v>2</v>
      </c>
      <c r="F66" s="103">
        <v>20</v>
      </c>
      <c r="G66" s="464">
        <f t="shared" si="8"/>
        <v>0.45441666666666669</v>
      </c>
      <c r="H66" s="462">
        <f t="shared" si="9"/>
        <v>327.18</v>
      </c>
      <c r="I66" s="217"/>
      <c r="J66" s="217"/>
      <c r="K66" s="217"/>
      <c r="L66" s="251" t="s">
        <v>60</v>
      </c>
      <c r="M66" s="223">
        <f t="shared" si="10"/>
        <v>0</v>
      </c>
      <c r="N66" s="223">
        <f t="shared" si="11"/>
        <v>0</v>
      </c>
      <c r="O66" s="259"/>
      <c r="P66" s="260"/>
      <c r="Q66" s="259"/>
      <c r="R66" s="259"/>
      <c r="V66" s="262"/>
      <c r="W66" s="262"/>
      <c r="X66" s="263"/>
    </row>
    <row r="67" spans="2:24" s="261" customFormat="1" ht="25">
      <c r="B67" s="484" t="s">
        <v>325</v>
      </c>
      <c r="C67" s="552" t="s">
        <v>323</v>
      </c>
      <c r="D67" s="570">
        <v>2</v>
      </c>
      <c r="E67" s="570">
        <v>4</v>
      </c>
      <c r="F67" s="104">
        <v>250</v>
      </c>
      <c r="G67" s="465">
        <f t="shared" si="8"/>
        <v>2.2720833333333332</v>
      </c>
      <c r="H67" s="463">
        <f t="shared" si="9"/>
        <v>1635.8999999999999</v>
      </c>
      <c r="I67" s="217"/>
      <c r="J67" s="217"/>
      <c r="K67" s="217"/>
      <c r="L67" s="249" t="s">
        <v>60</v>
      </c>
      <c r="M67" s="218">
        <f t="shared" si="10"/>
        <v>0</v>
      </c>
      <c r="N67" s="218">
        <f t="shared" si="11"/>
        <v>0</v>
      </c>
      <c r="O67" s="259"/>
      <c r="P67" s="260"/>
      <c r="Q67" s="259"/>
      <c r="R67" s="259"/>
      <c r="V67" s="262"/>
      <c r="W67" s="262"/>
      <c r="X67" s="263"/>
    </row>
    <row r="68" spans="2:24" s="261" customFormat="1" ht="25">
      <c r="B68" s="483" t="s">
        <v>326</v>
      </c>
      <c r="C68" s="555" t="s">
        <v>323</v>
      </c>
      <c r="D68" s="571">
        <v>4</v>
      </c>
      <c r="E68" s="571">
        <v>8</v>
      </c>
      <c r="F68" s="103">
        <v>250</v>
      </c>
      <c r="G68" s="464">
        <f t="shared" si="8"/>
        <v>2.9212499999999997</v>
      </c>
      <c r="H68" s="462">
        <f t="shared" si="9"/>
        <v>2103.2999999999997</v>
      </c>
      <c r="I68" s="217"/>
      <c r="J68" s="217"/>
      <c r="K68" s="217"/>
      <c r="L68" s="251" t="s">
        <v>60</v>
      </c>
      <c r="M68" s="223">
        <f t="shared" si="10"/>
        <v>0</v>
      </c>
      <c r="N68" s="223">
        <f t="shared" si="11"/>
        <v>0</v>
      </c>
      <c r="O68" s="259"/>
      <c r="P68" s="260"/>
      <c r="Q68" s="259"/>
      <c r="R68" s="259"/>
      <c r="V68" s="262"/>
      <c r="W68" s="262"/>
      <c r="X68" s="263"/>
    </row>
    <row r="69" spans="2:24" s="261" customFormat="1" ht="25">
      <c r="B69" s="484" t="s">
        <v>327</v>
      </c>
      <c r="C69" s="552" t="s">
        <v>323</v>
      </c>
      <c r="D69" s="570">
        <v>8</v>
      </c>
      <c r="E69" s="570">
        <v>16</v>
      </c>
      <c r="F69" s="104">
        <v>250</v>
      </c>
      <c r="G69" s="465">
        <f t="shared" si="8"/>
        <v>4.2195833333333335</v>
      </c>
      <c r="H69" s="463">
        <f t="shared" si="9"/>
        <v>3038.1</v>
      </c>
      <c r="I69" s="217"/>
      <c r="J69" s="217"/>
      <c r="K69" s="217"/>
      <c r="L69" s="249" t="s">
        <v>60</v>
      </c>
      <c r="M69" s="218">
        <f t="shared" si="10"/>
        <v>0</v>
      </c>
      <c r="N69" s="218">
        <f t="shared" si="11"/>
        <v>0</v>
      </c>
      <c r="O69" s="259"/>
      <c r="P69" s="260"/>
      <c r="Q69" s="259"/>
      <c r="R69" s="259"/>
      <c r="V69" s="262"/>
      <c r="W69" s="262"/>
      <c r="X69" s="263"/>
    </row>
    <row r="70" spans="2:24" s="261" customFormat="1" ht="25">
      <c r="B70" s="483" t="s">
        <v>328</v>
      </c>
      <c r="C70" s="555" t="s">
        <v>323</v>
      </c>
      <c r="D70" s="571">
        <v>16</v>
      </c>
      <c r="E70" s="571">
        <v>32</v>
      </c>
      <c r="F70" s="103">
        <v>250</v>
      </c>
      <c r="G70" s="464">
        <f t="shared" si="8"/>
        <v>6.8162500000000001</v>
      </c>
      <c r="H70" s="462">
        <f t="shared" si="9"/>
        <v>4907.7</v>
      </c>
      <c r="I70" s="217"/>
      <c r="J70" s="217"/>
      <c r="K70" s="217"/>
      <c r="L70" s="251" t="s">
        <v>60</v>
      </c>
      <c r="M70" s="223">
        <f t="shared" si="10"/>
        <v>0</v>
      </c>
      <c r="N70" s="223">
        <f t="shared" si="11"/>
        <v>0</v>
      </c>
      <c r="O70" s="259"/>
      <c r="P70" s="260"/>
      <c r="Q70" s="259"/>
      <c r="R70" s="259"/>
      <c r="V70" s="262"/>
      <c r="W70" s="262"/>
      <c r="X70" s="263"/>
    </row>
    <row r="71" spans="2:24" s="261" customFormat="1" ht="25">
      <c r="B71" s="484" t="s">
        <v>329</v>
      </c>
      <c r="C71" s="552" t="s">
        <v>323</v>
      </c>
      <c r="D71" s="570">
        <v>16</v>
      </c>
      <c r="E71" s="570">
        <v>32</v>
      </c>
      <c r="F71" s="104">
        <v>500</v>
      </c>
      <c r="G71" s="465">
        <f t="shared" si="8"/>
        <v>8.4391666666666669</v>
      </c>
      <c r="H71" s="463">
        <f t="shared" si="9"/>
        <v>6076.2</v>
      </c>
      <c r="I71" s="217"/>
      <c r="J71" s="217"/>
      <c r="K71" s="217"/>
      <c r="L71" s="249" t="s">
        <v>60</v>
      </c>
      <c r="M71" s="218">
        <f t="shared" si="10"/>
        <v>0</v>
      </c>
      <c r="N71" s="218">
        <f t="shared" si="11"/>
        <v>0</v>
      </c>
      <c r="O71" s="259"/>
      <c r="P71" s="260"/>
      <c r="Q71" s="259"/>
      <c r="R71" s="259"/>
      <c r="V71" s="262"/>
      <c r="W71" s="262"/>
      <c r="X71" s="263"/>
    </row>
    <row r="72" spans="2:24" s="261" customFormat="1" ht="25">
      <c r="B72" s="483" t="s">
        <v>330</v>
      </c>
      <c r="C72" s="555" t="s">
        <v>323</v>
      </c>
      <c r="D72" s="571">
        <v>16</v>
      </c>
      <c r="E72" s="571">
        <v>32</v>
      </c>
      <c r="F72" s="103">
        <v>1000</v>
      </c>
      <c r="G72" s="464">
        <f t="shared" si="8"/>
        <v>11.684999999999999</v>
      </c>
      <c r="H72" s="462">
        <f t="shared" si="9"/>
        <v>8413.1999999999989</v>
      </c>
      <c r="I72" s="217"/>
      <c r="J72" s="217"/>
      <c r="K72" s="217"/>
      <c r="L72" s="251" t="s">
        <v>60</v>
      </c>
      <c r="M72" s="223">
        <f t="shared" si="10"/>
        <v>0</v>
      </c>
      <c r="N72" s="223">
        <f t="shared" si="11"/>
        <v>0</v>
      </c>
      <c r="O72" s="259"/>
      <c r="P72" s="260"/>
      <c r="Q72" s="259"/>
      <c r="R72" s="259"/>
      <c r="V72" s="262"/>
      <c r="W72" s="262"/>
      <c r="X72" s="263"/>
    </row>
    <row r="73" spans="2:24" s="261" customFormat="1" ht="25">
      <c r="B73" s="484" t="s">
        <v>331</v>
      </c>
      <c r="C73" s="552" t="s">
        <v>323</v>
      </c>
      <c r="D73" s="570">
        <v>32</v>
      </c>
      <c r="E73" s="570">
        <v>65</v>
      </c>
      <c r="F73" s="104">
        <v>250</v>
      </c>
      <c r="G73" s="465">
        <f t="shared" si="8"/>
        <v>12.103541666666665</v>
      </c>
      <c r="H73" s="463">
        <f t="shared" si="9"/>
        <v>8714.5499999999993</v>
      </c>
      <c r="I73" s="217"/>
      <c r="J73" s="217"/>
      <c r="K73" s="217"/>
      <c r="L73" s="249" t="s">
        <v>60</v>
      </c>
      <c r="M73" s="218">
        <f t="shared" si="10"/>
        <v>0</v>
      </c>
      <c r="N73" s="218">
        <f t="shared" si="11"/>
        <v>0</v>
      </c>
      <c r="O73" s="259"/>
      <c r="P73" s="260"/>
      <c r="Q73" s="259"/>
      <c r="R73" s="259"/>
      <c r="V73" s="262"/>
      <c r="W73" s="262"/>
      <c r="X73" s="263"/>
    </row>
    <row r="74" spans="2:24" s="261" customFormat="1" ht="25">
      <c r="B74" s="483" t="s">
        <v>332</v>
      </c>
      <c r="C74" s="555" t="s">
        <v>323</v>
      </c>
      <c r="D74" s="571">
        <v>32</v>
      </c>
      <c r="E74" s="571">
        <v>65</v>
      </c>
      <c r="F74" s="103">
        <v>500</v>
      </c>
      <c r="G74" s="464">
        <f t="shared" si="8"/>
        <v>13.726458333333332</v>
      </c>
      <c r="H74" s="462">
        <f t="shared" si="9"/>
        <v>9883.0499999999993</v>
      </c>
      <c r="I74" s="217"/>
      <c r="J74" s="217"/>
      <c r="K74" s="217"/>
      <c r="L74" s="251" t="s">
        <v>60</v>
      </c>
      <c r="M74" s="223">
        <f t="shared" si="10"/>
        <v>0</v>
      </c>
      <c r="N74" s="223">
        <f t="shared" si="11"/>
        <v>0</v>
      </c>
      <c r="O74" s="259"/>
      <c r="P74" s="260"/>
      <c r="Q74" s="259"/>
      <c r="R74" s="259"/>
      <c r="V74" s="262"/>
      <c r="W74" s="262"/>
      <c r="X74" s="263"/>
    </row>
    <row r="75" spans="2:24" s="261" customFormat="1" ht="25">
      <c r="B75" s="484" t="s">
        <v>333</v>
      </c>
      <c r="C75" s="552" t="s">
        <v>323</v>
      </c>
      <c r="D75" s="570">
        <v>32</v>
      </c>
      <c r="E75" s="570">
        <v>65</v>
      </c>
      <c r="F75" s="104">
        <v>1000</v>
      </c>
      <c r="G75" s="465">
        <f t="shared" si="8"/>
        <v>16.972291666666667</v>
      </c>
      <c r="H75" s="463">
        <f t="shared" si="9"/>
        <v>12220.05</v>
      </c>
      <c r="I75" s="217"/>
      <c r="J75" s="217"/>
      <c r="K75" s="217"/>
      <c r="L75" s="249" t="s">
        <v>60</v>
      </c>
      <c r="M75" s="218">
        <f t="shared" si="10"/>
        <v>0</v>
      </c>
      <c r="N75" s="218">
        <f t="shared" si="11"/>
        <v>0</v>
      </c>
      <c r="O75" s="259"/>
      <c r="P75" s="260"/>
      <c r="Q75" s="259"/>
      <c r="R75" s="259"/>
      <c r="V75" s="262"/>
      <c r="W75" s="262"/>
      <c r="X75" s="263"/>
    </row>
    <row r="76" spans="2:24" s="261" customFormat="1" ht="25">
      <c r="B76" s="483" t="s">
        <v>334</v>
      </c>
      <c r="C76" s="555" t="s">
        <v>323</v>
      </c>
      <c r="D76" s="571">
        <v>1</v>
      </c>
      <c r="E76" s="571">
        <v>4</v>
      </c>
      <c r="F76" s="103">
        <v>20</v>
      </c>
      <c r="G76" s="464">
        <f t="shared" si="8"/>
        <v>0.64233333333333331</v>
      </c>
      <c r="H76" s="462">
        <f t="shared" si="9"/>
        <v>462.48</v>
      </c>
      <c r="I76" s="217"/>
      <c r="J76" s="217"/>
      <c r="K76" s="217"/>
      <c r="L76" s="251" t="s">
        <v>60</v>
      </c>
      <c r="M76" s="223">
        <f t="shared" si="10"/>
        <v>0</v>
      </c>
      <c r="N76" s="223">
        <f t="shared" si="11"/>
        <v>0</v>
      </c>
      <c r="O76" s="259"/>
      <c r="P76" s="260"/>
      <c r="Q76" s="259"/>
      <c r="R76" s="259"/>
      <c r="V76" s="262"/>
      <c r="W76" s="262"/>
      <c r="X76" s="263"/>
    </row>
    <row r="77" spans="2:24" s="261" customFormat="1" ht="25">
      <c r="B77" s="484" t="s">
        <v>335</v>
      </c>
      <c r="C77" s="552" t="s">
        <v>323</v>
      </c>
      <c r="D77" s="570">
        <v>2</v>
      </c>
      <c r="E77" s="570">
        <v>8</v>
      </c>
      <c r="F77" s="104">
        <v>250</v>
      </c>
      <c r="G77" s="465">
        <f t="shared" si="8"/>
        <v>2.6479166666666663</v>
      </c>
      <c r="H77" s="463">
        <f t="shared" si="9"/>
        <v>1906.4999999999998</v>
      </c>
      <c r="I77" s="217"/>
      <c r="J77" s="217"/>
      <c r="K77" s="217"/>
      <c r="L77" s="249" t="s">
        <v>60</v>
      </c>
      <c r="M77" s="218">
        <f t="shared" si="10"/>
        <v>0</v>
      </c>
      <c r="N77" s="218">
        <f t="shared" si="11"/>
        <v>0</v>
      </c>
      <c r="O77" s="259"/>
      <c r="P77" s="260"/>
      <c r="Q77" s="259"/>
      <c r="R77" s="259"/>
      <c r="V77" s="262"/>
      <c r="W77" s="262"/>
      <c r="X77" s="263"/>
    </row>
    <row r="78" spans="2:24" s="261" customFormat="1" ht="25">
      <c r="B78" s="483" t="s">
        <v>336</v>
      </c>
      <c r="C78" s="555" t="s">
        <v>323</v>
      </c>
      <c r="D78" s="571">
        <v>4</v>
      </c>
      <c r="E78" s="571">
        <v>16</v>
      </c>
      <c r="F78" s="103">
        <v>250</v>
      </c>
      <c r="G78" s="464">
        <f t="shared" si="8"/>
        <v>3.6729166666666666</v>
      </c>
      <c r="H78" s="462">
        <f t="shared" si="9"/>
        <v>2644.5</v>
      </c>
      <c r="I78" s="217"/>
      <c r="J78" s="217"/>
      <c r="K78" s="217"/>
      <c r="L78" s="251" t="s">
        <v>60</v>
      </c>
      <c r="M78" s="223">
        <f t="shared" si="10"/>
        <v>0</v>
      </c>
      <c r="N78" s="223">
        <f t="shared" si="11"/>
        <v>0</v>
      </c>
      <c r="O78" s="259"/>
      <c r="P78" s="260"/>
      <c r="Q78" s="259"/>
      <c r="R78" s="259"/>
      <c r="V78" s="262"/>
      <c r="W78" s="262"/>
      <c r="X78" s="263"/>
    </row>
    <row r="79" spans="2:24" s="261" customFormat="1" ht="25">
      <c r="B79" s="484" t="s">
        <v>337</v>
      </c>
      <c r="C79" s="552" t="s">
        <v>323</v>
      </c>
      <c r="D79" s="570">
        <v>8</v>
      </c>
      <c r="E79" s="570">
        <v>32</v>
      </c>
      <c r="F79" s="104">
        <v>250</v>
      </c>
      <c r="G79" s="465">
        <f t="shared" si="8"/>
        <v>5.7229166666666664</v>
      </c>
      <c r="H79" s="463">
        <f t="shared" si="9"/>
        <v>4120.5</v>
      </c>
      <c r="I79" s="217"/>
      <c r="J79" s="217"/>
      <c r="K79" s="217"/>
      <c r="L79" s="249" t="s">
        <v>60</v>
      </c>
      <c r="M79" s="218">
        <f t="shared" si="10"/>
        <v>0</v>
      </c>
      <c r="N79" s="218">
        <f t="shared" si="11"/>
        <v>0</v>
      </c>
      <c r="O79" s="259"/>
      <c r="P79" s="260"/>
      <c r="Q79" s="259"/>
      <c r="R79" s="259"/>
      <c r="V79" s="262"/>
      <c r="W79" s="262"/>
      <c r="X79" s="263"/>
    </row>
    <row r="80" spans="2:24" s="261" customFormat="1" ht="25">
      <c r="B80" s="483" t="s">
        <v>338</v>
      </c>
      <c r="C80" s="555" t="s">
        <v>323</v>
      </c>
      <c r="D80" s="571">
        <v>16</v>
      </c>
      <c r="E80" s="571">
        <v>65</v>
      </c>
      <c r="F80" s="103">
        <v>250</v>
      </c>
      <c r="G80" s="464">
        <f t="shared" si="8"/>
        <v>9.9168749999999992</v>
      </c>
      <c r="H80" s="462">
        <f t="shared" si="9"/>
        <v>7140.15</v>
      </c>
      <c r="I80" s="217"/>
      <c r="J80" s="217"/>
      <c r="K80" s="217"/>
      <c r="L80" s="251" t="s">
        <v>60</v>
      </c>
      <c r="M80" s="223">
        <f t="shared" si="10"/>
        <v>0</v>
      </c>
      <c r="N80" s="223">
        <f t="shared" si="11"/>
        <v>0</v>
      </c>
      <c r="O80" s="259"/>
      <c r="P80" s="260"/>
      <c r="Q80" s="259"/>
      <c r="R80" s="259"/>
      <c r="V80" s="262"/>
      <c r="W80" s="262"/>
      <c r="X80" s="263"/>
    </row>
    <row r="81" spans="2:24" s="261" customFormat="1" ht="25">
      <c r="B81" s="484" t="s">
        <v>339</v>
      </c>
      <c r="C81" s="552" t="s">
        <v>323</v>
      </c>
      <c r="D81" s="570">
        <v>16</v>
      </c>
      <c r="E81" s="570">
        <v>65</v>
      </c>
      <c r="F81" s="104">
        <v>500</v>
      </c>
      <c r="G81" s="465">
        <f t="shared" si="8"/>
        <v>11.539791666666666</v>
      </c>
      <c r="H81" s="463">
        <f t="shared" si="9"/>
        <v>8308.65</v>
      </c>
      <c r="I81" s="217"/>
      <c r="J81" s="217"/>
      <c r="K81" s="217"/>
      <c r="L81" s="249" t="s">
        <v>60</v>
      </c>
      <c r="M81" s="218">
        <f t="shared" si="10"/>
        <v>0</v>
      </c>
      <c r="N81" s="218">
        <f t="shared" si="11"/>
        <v>0</v>
      </c>
      <c r="O81" s="259"/>
      <c r="P81" s="260"/>
      <c r="Q81" s="259"/>
      <c r="R81" s="259"/>
      <c r="V81" s="262"/>
      <c r="W81" s="262"/>
      <c r="X81" s="263"/>
    </row>
    <row r="82" spans="2:24" s="261" customFormat="1" ht="25">
      <c r="B82" s="483" t="s">
        <v>340</v>
      </c>
      <c r="C82" s="555" t="s">
        <v>323</v>
      </c>
      <c r="D82" s="571">
        <v>16</v>
      </c>
      <c r="E82" s="571">
        <v>65</v>
      </c>
      <c r="F82" s="103">
        <v>1000</v>
      </c>
      <c r="G82" s="464">
        <f>H82/720</f>
        <v>14.785624999999998</v>
      </c>
      <c r="H82" s="462">
        <f t="shared" si="9"/>
        <v>10645.649999999998</v>
      </c>
      <c r="I82" s="217"/>
      <c r="J82" s="217"/>
      <c r="K82" s="217"/>
      <c r="L82" s="251" t="s">
        <v>60</v>
      </c>
      <c r="M82" s="223">
        <f t="shared" ref="M82:M85" si="12">ROUNDUP(I82*H82,2)</f>
        <v>0</v>
      </c>
      <c r="N82" s="223">
        <f t="shared" si="11"/>
        <v>0</v>
      </c>
      <c r="O82" s="259"/>
      <c r="P82" s="260"/>
      <c r="Q82" s="259"/>
      <c r="R82" s="259"/>
      <c r="V82" s="262"/>
      <c r="W82" s="262"/>
      <c r="X82" s="263"/>
    </row>
    <row r="83" spans="2:24" s="261" customFormat="1" ht="25">
      <c r="B83" s="484" t="s">
        <v>341</v>
      </c>
      <c r="C83" s="552" t="s">
        <v>323</v>
      </c>
      <c r="D83" s="570">
        <v>32</v>
      </c>
      <c r="E83" s="570">
        <v>131</v>
      </c>
      <c r="F83" s="104">
        <v>250</v>
      </c>
      <c r="G83" s="465">
        <f t="shared" ref="G83:G85" si="13">H83/720</f>
        <v>18.304791666666667</v>
      </c>
      <c r="H83" s="463">
        <f t="shared" si="9"/>
        <v>13179.45</v>
      </c>
      <c r="I83" s="217"/>
      <c r="J83" s="217"/>
      <c r="K83" s="217"/>
      <c r="L83" s="249" t="s">
        <v>60</v>
      </c>
      <c r="M83" s="218">
        <f t="shared" si="12"/>
        <v>0</v>
      </c>
      <c r="N83" s="218">
        <f t="shared" si="11"/>
        <v>0</v>
      </c>
      <c r="O83" s="259"/>
      <c r="P83" s="260"/>
      <c r="Q83" s="259"/>
      <c r="R83" s="259"/>
      <c r="V83" s="262"/>
      <c r="W83" s="262"/>
      <c r="X83" s="263"/>
    </row>
    <row r="84" spans="2:24" s="261" customFormat="1" ht="25">
      <c r="B84" s="483" t="s">
        <v>342</v>
      </c>
      <c r="C84" s="555" t="s">
        <v>323</v>
      </c>
      <c r="D84" s="571">
        <v>32</v>
      </c>
      <c r="E84" s="571">
        <v>131</v>
      </c>
      <c r="F84" s="103">
        <v>500</v>
      </c>
      <c r="G84" s="464">
        <f t="shared" si="13"/>
        <v>19.927708333333335</v>
      </c>
      <c r="H84" s="462">
        <f t="shared" si="9"/>
        <v>14347.95</v>
      </c>
      <c r="I84" s="217"/>
      <c r="J84" s="217"/>
      <c r="K84" s="217"/>
      <c r="L84" s="251" t="s">
        <v>60</v>
      </c>
      <c r="M84" s="223">
        <f t="shared" si="12"/>
        <v>0</v>
      </c>
      <c r="N84" s="223">
        <f t="shared" si="11"/>
        <v>0</v>
      </c>
      <c r="O84" s="259"/>
      <c r="P84" s="260"/>
      <c r="Q84" s="259"/>
      <c r="R84" s="259"/>
      <c r="V84" s="262"/>
      <c r="W84" s="262"/>
      <c r="X84" s="263"/>
    </row>
    <row r="85" spans="2:24" s="261" customFormat="1" ht="25">
      <c r="B85" s="484" t="s">
        <v>343</v>
      </c>
      <c r="C85" s="552" t="s">
        <v>323</v>
      </c>
      <c r="D85" s="570">
        <v>32</v>
      </c>
      <c r="E85" s="570">
        <v>131</v>
      </c>
      <c r="F85" s="104">
        <v>1000</v>
      </c>
      <c r="G85" s="465">
        <f t="shared" si="13"/>
        <v>23.173541666666669</v>
      </c>
      <c r="H85" s="463">
        <f t="shared" si="9"/>
        <v>16684.95</v>
      </c>
      <c r="I85" s="217"/>
      <c r="J85" s="217"/>
      <c r="K85" s="217"/>
      <c r="L85" s="249" t="s">
        <v>60</v>
      </c>
      <c r="M85" s="218">
        <f t="shared" si="12"/>
        <v>0</v>
      </c>
      <c r="N85" s="218">
        <f t="shared" si="11"/>
        <v>0</v>
      </c>
      <c r="O85" s="259"/>
      <c r="P85" s="260"/>
      <c r="Q85" s="259"/>
      <c r="R85" s="259"/>
      <c r="V85" s="262"/>
      <c r="W85" s="262"/>
      <c r="X85" s="263"/>
    </row>
    <row r="86" spans="2:24" s="268" customFormat="1" ht="25.5" customHeight="1">
      <c r="B86" s="481" t="s">
        <v>344</v>
      </c>
      <c r="C86" s="550"/>
      <c r="D86" s="89"/>
      <c r="E86" s="89"/>
      <c r="F86" s="225"/>
      <c r="G86" s="226"/>
      <c r="H86" s="227"/>
      <c r="I86" s="162" t="str">
        <f>SUM(I65:I85)&amp;" st"</f>
        <v>0 st</v>
      </c>
      <c r="J86" s="162" t="str">
        <f>SUM(J65:J85)&amp;" st"</f>
        <v>0 st</v>
      </c>
      <c r="K86" s="162" t="str">
        <f>SUM(K65:K85)&amp;" st"</f>
        <v>0 st</v>
      </c>
      <c r="L86" s="163"/>
      <c r="M86" s="593">
        <f>SUM(M65:M85)</f>
        <v>0</v>
      </c>
      <c r="N86" s="593">
        <f>SUM(N65:N85)</f>
        <v>0</v>
      </c>
      <c r="O86" s="51"/>
      <c r="P86" s="264"/>
      <c r="Q86" s="265"/>
      <c r="R86" s="265"/>
      <c r="S86" s="265"/>
      <c r="T86" s="265"/>
      <c r="U86" s="266"/>
      <c r="V86" s="265"/>
      <c r="W86" s="267"/>
    </row>
    <row r="87" spans="2:24" s="192" customFormat="1" ht="25.5" customHeight="1">
      <c r="B87" s="482"/>
      <c r="C87" s="556"/>
      <c r="D87" s="22"/>
      <c r="E87" s="21"/>
      <c r="F87" s="269"/>
      <c r="G87" s="269"/>
      <c r="H87" s="201"/>
      <c r="I87" s="201"/>
      <c r="J87" s="201"/>
      <c r="K87" s="270"/>
      <c r="L87" s="201"/>
      <c r="M87" s="271"/>
      <c r="N87" s="271"/>
      <c r="P87" s="219"/>
      <c r="U87" s="200"/>
      <c r="W87" s="200"/>
    </row>
    <row r="88" spans="2:24" s="192" customFormat="1" ht="25.5" customHeight="1">
      <c r="B88" s="482"/>
      <c r="C88" s="556"/>
      <c r="D88" s="22"/>
      <c r="E88" s="21"/>
      <c r="F88" s="269"/>
      <c r="G88" s="269"/>
      <c r="H88" s="201"/>
      <c r="I88" s="201"/>
      <c r="J88" s="201"/>
      <c r="K88" s="270"/>
      <c r="L88" s="201"/>
      <c r="M88" s="271"/>
      <c r="N88" s="271"/>
      <c r="P88" s="219"/>
      <c r="U88" s="200"/>
      <c r="W88" s="200"/>
    </row>
    <row r="89" spans="2:24" s="237" customFormat="1" ht="31">
      <c r="B89" s="447" t="s">
        <v>58</v>
      </c>
      <c r="C89" s="24"/>
      <c r="D89" s="24"/>
      <c r="E89" s="24"/>
      <c r="F89" s="272"/>
      <c r="G89" s="272"/>
      <c r="H89" s="201"/>
      <c r="I89" s="201"/>
      <c r="J89" s="201"/>
      <c r="K89" s="270"/>
      <c r="L89" s="201"/>
      <c r="M89" s="271"/>
      <c r="N89" s="271"/>
      <c r="P89" s="238"/>
      <c r="Q89" s="201"/>
      <c r="R89" s="201"/>
      <c r="S89" s="201"/>
      <c r="T89" s="201"/>
      <c r="U89" s="239"/>
      <c r="V89" s="201"/>
      <c r="W89" s="240"/>
    </row>
    <row r="90" spans="2:24" s="261" customFormat="1" ht="47">
      <c r="B90" s="478" t="s">
        <v>208</v>
      </c>
      <c r="C90" s="14" t="s">
        <v>218</v>
      </c>
      <c r="D90" s="14" t="s">
        <v>11</v>
      </c>
      <c r="E90" s="14" t="s">
        <v>32</v>
      </c>
      <c r="F90" s="273"/>
      <c r="G90" s="207" t="s">
        <v>210</v>
      </c>
      <c r="H90" s="207" t="s">
        <v>211</v>
      </c>
      <c r="I90" s="274" t="s">
        <v>212</v>
      </c>
      <c r="J90" s="274" t="s">
        <v>213</v>
      </c>
      <c r="K90" s="274" t="s">
        <v>214</v>
      </c>
      <c r="L90" s="209"/>
      <c r="M90" s="207" t="s">
        <v>215</v>
      </c>
      <c r="N90" s="207" t="s">
        <v>216</v>
      </c>
      <c r="O90" s="259"/>
      <c r="P90" s="260"/>
      <c r="Q90" s="259"/>
      <c r="R90" s="259"/>
      <c r="V90" s="262"/>
      <c r="W90" s="262"/>
      <c r="X90" s="263"/>
    </row>
    <row r="91" spans="2:24" s="192" customFormat="1" ht="25.5" customHeight="1">
      <c r="B91" s="141" t="s">
        <v>59</v>
      </c>
      <c r="C91" s="91">
        <v>16</v>
      </c>
      <c r="D91" s="91">
        <v>128</v>
      </c>
      <c r="E91" s="565">
        <v>3800</v>
      </c>
      <c r="F91" s="275"/>
      <c r="G91" s="247">
        <f t="shared" ref="G91:G93" si="14">H91/720</f>
        <v>9.5</v>
      </c>
      <c r="H91" s="248">
        <f>INSTANCE_p1.2xlarge.16d_SEK</f>
        <v>6840</v>
      </c>
      <c r="I91" s="217">
        <v>0</v>
      </c>
      <c r="J91" s="217">
        <v>0</v>
      </c>
      <c r="K91" s="217">
        <v>0</v>
      </c>
      <c r="L91" s="214" t="s">
        <v>60</v>
      </c>
      <c r="M91" s="218">
        <f t="shared" ref="M91:M93" si="15">ROUNDUP(I91*H91,2)</f>
        <v>0</v>
      </c>
      <c r="N91" s="218">
        <f>J91*C91*SW_win.ser.201X_SEK+K91*C91*SW_ms.sql.ser_SEK</f>
        <v>0</v>
      </c>
      <c r="O91" s="201"/>
      <c r="P91" s="219"/>
    </row>
    <row r="92" spans="2:24" s="192" customFormat="1" ht="25.5" customHeight="1">
      <c r="B92" s="488" t="s">
        <v>61</v>
      </c>
      <c r="C92" s="92">
        <v>32</v>
      </c>
      <c r="D92" s="92">
        <v>256</v>
      </c>
      <c r="E92" s="566">
        <v>3800</v>
      </c>
      <c r="F92" s="276"/>
      <c r="G92" s="243">
        <f t="shared" si="14"/>
        <v>19</v>
      </c>
      <c r="H92" s="244">
        <f>INSTANCE_p1.4xlarge.16d_SEK</f>
        <v>13680</v>
      </c>
      <c r="I92" s="217">
        <v>0</v>
      </c>
      <c r="J92" s="217">
        <v>0</v>
      </c>
      <c r="K92" s="217">
        <v>0</v>
      </c>
      <c r="L92" s="220" t="str">
        <f t="shared" ref="L92" si="16">L91</f>
        <v>Instanser</v>
      </c>
      <c r="M92" s="223">
        <f t="shared" si="15"/>
        <v>0</v>
      </c>
      <c r="N92" s="223">
        <f>J92*C92*SW_win.ser.201X_SEK+K92*C92*SW_ms.sql.ser_SEK</f>
        <v>0</v>
      </c>
      <c r="O92" s="201"/>
      <c r="P92" s="219"/>
      <c r="X92" s="200"/>
    </row>
    <row r="93" spans="2:24" s="265" customFormat="1" ht="25.5" customHeight="1">
      <c r="B93" s="489" t="s">
        <v>62</v>
      </c>
      <c r="C93" s="93">
        <v>64</v>
      </c>
      <c r="D93" s="93">
        <v>512</v>
      </c>
      <c r="E93" s="567">
        <v>7600</v>
      </c>
      <c r="F93" s="277"/>
      <c r="G93" s="278">
        <f t="shared" si="14"/>
        <v>38</v>
      </c>
      <c r="H93" s="279">
        <f>INSTANCE_p1.8xlarge.32d_SEK</f>
        <v>27360</v>
      </c>
      <c r="I93" s="217">
        <v>0</v>
      </c>
      <c r="J93" s="217">
        <v>0</v>
      </c>
      <c r="K93" s="217">
        <v>0</v>
      </c>
      <c r="L93" s="214" t="s">
        <v>60</v>
      </c>
      <c r="M93" s="218">
        <f t="shared" si="15"/>
        <v>0</v>
      </c>
      <c r="N93" s="218">
        <f>J93*C93*SW_win.ser.201X_SEK+K93*C93*SW_ms.sql.ser_SEK</f>
        <v>0</v>
      </c>
      <c r="O93" s="280"/>
      <c r="P93" s="281"/>
    </row>
    <row r="94" spans="2:24" ht="25.5" customHeight="1">
      <c r="B94" s="482" t="s">
        <v>85</v>
      </c>
      <c r="C94" s="551"/>
      <c r="D94" s="21"/>
      <c r="E94" s="21"/>
      <c r="F94" s="265"/>
      <c r="G94" s="265"/>
      <c r="H94" s="265"/>
      <c r="I94" s="162" t="str">
        <f>SUM(I91:I93)&amp;" st"</f>
        <v>0 st</v>
      </c>
      <c r="J94" s="162" t="str">
        <f>SUM(J91:J93)&amp;" st"</f>
        <v>0 st</v>
      </c>
      <c r="K94" s="162" t="str">
        <f>SUM(K91:K93)&amp;" st"</f>
        <v>0 st</v>
      </c>
      <c r="L94" s="163"/>
      <c r="M94" s="593">
        <f>SUM(M91:M93)</f>
        <v>0</v>
      </c>
      <c r="N94" s="90">
        <f>SUM(N91:N93)</f>
        <v>0</v>
      </c>
      <c r="O94" s="202"/>
      <c r="P94" s="205"/>
    </row>
    <row r="95" spans="2:24" ht="25.5" customHeight="1">
      <c r="B95" s="490"/>
      <c r="C95" s="557"/>
      <c r="D95" s="78"/>
      <c r="E95" s="78"/>
      <c r="F95" s="282"/>
      <c r="G95" s="282"/>
      <c r="H95" s="265"/>
      <c r="I95" s="283"/>
      <c r="J95" s="283"/>
      <c r="K95" s="283"/>
      <c r="L95" s="232"/>
      <c r="M95" s="50"/>
      <c r="N95" s="51"/>
      <c r="O95" s="202"/>
      <c r="P95" s="205"/>
    </row>
    <row r="96" spans="2:24" s="192" customFormat="1" ht="25.5" customHeight="1">
      <c r="B96" s="491"/>
      <c r="C96" s="556"/>
      <c r="D96" s="22"/>
      <c r="E96" s="22"/>
      <c r="F96" s="269"/>
      <c r="G96" s="269"/>
      <c r="H96" s="201"/>
      <c r="I96" s="201"/>
      <c r="J96" s="201"/>
      <c r="K96" s="270"/>
      <c r="L96" s="201"/>
      <c r="M96" s="271"/>
      <c r="N96" s="271"/>
      <c r="P96" s="219"/>
      <c r="U96" s="200"/>
      <c r="W96" s="200"/>
    </row>
    <row r="97" spans="2:25" ht="25.5" customHeight="1">
      <c r="B97" s="447" t="s">
        <v>219</v>
      </c>
      <c r="C97" s="24"/>
      <c r="D97" s="24"/>
      <c r="E97" s="24"/>
      <c r="F97" s="272"/>
      <c r="G97" s="272"/>
      <c r="H97" s="201"/>
      <c r="I97" s="201"/>
      <c r="J97" s="201"/>
      <c r="K97" s="270"/>
      <c r="L97" s="201"/>
      <c r="M97" s="271"/>
      <c r="N97" s="271"/>
      <c r="O97" s="202"/>
      <c r="P97" s="205"/>
      <c r="Q97" s="192"/>
      <c r="R97" s="192"/>
      <c r="S97" s="192"/>
      <c r="T97" s="192"/>
      <c r="U97" s="200"/>
      <c r="V97" s="192"/>
      <c r="W97" s="228"/>
    </row>
    <row r="98" spans="2:25" s="287" customFormat="1" ht="35.25" customHeight="1">
      <c r="B98" s="478" t="s">
        <v>208</v>
      </c>
      <c r="C98" s="26" t="s">
        <v>220</v>
      </c>
      <c r="D98" s="26"/>
      <c r="E98" s="138" t="s">
        <v>210</v>
      </c>
      <c r="F98" s="1149" t="s">
        <v>221</v>
      </c>
      <c r="G98" s="1149"/>
      <c r="H98" s="1124"/>
      <c r="I98" s="1124"/>
      <c r="J98" s="285" t="s">
        <v>66</v>
      </c>
      <c r="K98" s="284"/>
      <c r="L98" s="284"/>
      <c r="M98" s="284"/>
      <c r="N98" s="583"/>
      <c r="O98" s="213"/>
      <c r="P98" s="286"/>
      <c r="R98" s="213"/>
      <c r="S98" s="213"/>
      <c r="W98" s="288"/>
      <c r="X98" s="288"/>
      <c r="Y98" s="289"/>
    </row>
    <row r="99" spans="2:25" s="192" customFormat="1" ht="25.5" customHeight="1">
      <c r="B99" s="141" t="s">
        <v>67</v>
      </c>
      <c r="C99" s="41" t="s">
        <v>71</v>
      </c>
      <c r="D99" s="80"/>
      <c r="E99" s="568">
        <f>F99/720</f>
        <v>1.6666666666666666E-3</v>
      </c>
      <c r="F99" s="1166">
        <f>VOLUME_large_SEK</f>
        <v>1.2</v>
      </c>
      <c r="G99" s="1166"/>
      <c r="H99" s="1193"/>
      <c r="I99" s="1193"/>
      <c r="J99" s="290"/>
      <c r="K99" s="512" t="s">
        <v>69</v>
      </c>
      <c r="L99" s="291"/>
      <c r="M99" s="292"/>
      <c r="N99" s="293">
        <f>ROUNDUP(J99*F99,2)</f>
        <v>0</v>
      </c>
      <c r="O99" s="201"/>
      <c r="P99" s="219"/>
    </row>
    <row r="100" spans="2:25" s="192" customFormat="1" ht="25.5" customHeight="1">
      <c r="B100" s="488" t="s">
        <v>70</v>
      </c>
      <c r="C100" s="43" t="s">
        <v>68</v>
      </c>
      <c r="D100" s="81"/>
      <c r="E100" s="569">
        <f>F100/720</f>
        <v>5.0000000000000001E-3</v>
      </c>
      <c r="F100" s="1168">
        <f>VOLUME_fast_SEK</f>
        <v>3.6</v>
      </c>
      <c r="G100" s="1168"/>
      <c r="H100" s="1194"/>
      <c r="I100" s="1194"/>
      <c r="J100" s="294">
        <v>0</v>
      </c>
      <c r="K100" s="513" t="s">
        <v>69</v>
      </c>
      <c r="L100" s="295"/>
      <c r="M100" s="296"/>
      <c r="N100" s="297">
        <f>ROUNDUP(J100*F100,2)</f>
        <v>0</v>
      </c>
      <c r="O100" s="201"/>
      <c r="P100" s="219"/>
      <c r="Y100" s="200"/>
    </row>
    <row r="101" spans="2:25" ht="25.5" customHeight="1">
      <c r="B101" s="481" t="s">
        <v>222</v>
      </c>
      <c r="C101" s="550"/>
      <c r="D101" s="89"/>
      <c r="E101" s="89"/>
      <c r="F101" s="226"/>
      <c r="G101" s="227"/>
      <c r="H101" s="227"/>
      <c r="I101" s="298"/>
      <c r="J101" s="299" t="str">
        <f>SUM(J99:J100)&amp;" GB"</f>
        <v>0 GB</v>
      </c>
      <c r="K101" s="300"/>
      <c r="L101" s="227"/>
      <c r="M101" s="227"/>
      <c r="N101" s="90">
        <f>SUM(N99:N100)</f>
        <v>0</v>
      </c>
      <c r="O101" s="202"/>
      <c r="P101" s="205"/>
    </row>
    <row r="102" spans="2:25" ht="25.5" customHeight="1">
      <c r="B102" s="77"/>
      <c r="C102" s="557"/>
      <c r="D102" s="78"/>
      <c r="E102" s="78"/>
      <c r="F102" s="282"/>
      <c r="G102" s="282"/>
      <c r="H102" s="301"/>
      <c r="I102" s="301"/>
      <c r="J102" s="301"/>
      <c r="K102" s="302"/>
      <c r="L102" s="303"/>
      <c r="M102" s="304"/>
      <c r="N102" s="304"/>
      <c r="O102" s="202"/>
      <c r="P102" s="205"/>
    </row>
    <row r="103" spans="2:25" ht="25.5" customHeight="1">
      <c r="B103" s="77"/>
      <c r="C103" s="557"/>
      <c r="D103" s="78"/>
      <c r="E103" s="78"/>
      <c r="F103" s="282"/>
      <c r="G103" s="282"/>
      <c r="H103" s="301"/>
      <c r="I103" s="301"/>
      <c r="J103" s="301"/>
      <c r="K103" s="302"/>
      <c r="L103" s="303"/>
      <c r="M103" s="304"/>
      <c r="N103" s="304"/>
      <c r="O103" s="202"/>
      <c r="P103" s="205"/>
    </row>
    <row r="104" spans="2:25" s="187" customFormat="1" ht="25.5" customHeight="1">
      <c r="B104" s="77"/>
      <c r="C104" s="557"/>
      <c r="D104" s="78"/>
      <c r="E104" s="78"/>
      <c r="F104" s="282"/>
      <c r="G104" s="282"/>
      <c r="H104" s="301"/>
      <c r="I104" s="301"/>
      <c r="J104" s="301"/>
      <c r="K104" s="302"/>
      <c r="L104" s="303"/>
      <c r="M104" s="304"/>
      <c r="N104" s="304"/>
      <c r="P104" s="191"/>
    </row>
    <row r="105" spans="2:25" s="187" customFormat="1" ht="25.5" customHeight="1">
      <c r="B105" s="1140" t="s">
        <v>345</v>
      </c>
      <c r="C105" s="1140"/>
      <c r="D105" s="1140"/>
      <c r="E105" s="1140"/>
      <c r="F105" s="1140"/>
      <c r="G105" s="1140"/>
      <c r="H105" s="188"/>
      <c r="J105" s="189"/>
      <c r="K105" s="189"/>
      <c r="M105" s="190"/>
      <c r="N105" s="190"/>
      <c r="P105" s="191"/>
    </row>
    <row r="106" spans="2:25" s="187" customFormat="1" ht="25.5" customHeight="1">
      <c r="B106" s="1140"/>
      <c r="C106" s="1140"/>
      <c r="D106" s="1140"/>
      <c r="E106" s="1140"/>
      <c r="F106" s="1140"/>
      <c r="G106" s="1140"/>
      <c r="H106" s="188"/>
      <c r="J106" s="189"/>
      <c r="K106" s="189"/>
      <c r="M106" s="190"/>
      <c r="N106" s="190"/>
      <c r="P106" s="191"/>
    </row>
    <row r="107" spans="2:25" s="187" customFormat="1" ht="25.5" customHeight="1">
      <c r="B107" s="1140"/>
      <c r="C107" s="1140"/>
      <c r="D107" s="1140"/>
      <c r="E107" s="1140"/>
      <c r="F107" s="1140"/>
      <c r="G107" s="1140"/>
      <c r="H107" s="188"/>
      <c r="J107" s="189"/>
      <c r="K107" s="189"/>
      <c r="M107" s="190"/>
      <c r="N107" s="190"/>
      <c r="P107" s="191"/>
    </row>
    <row r="108" spans="2:25" s="187" customFormat="1" ht="25.5" customHeight="1">
      <c r="B108" s="1146" t="s">
        <v>223</v>
      </c>
      <c r="C108" s="1146"/>
      <c r="D108" s="1146"/>
      <c r="E108" s="1146"/>
      <c r="F108" s="1146"/>
      <c r="H108" s="188"/>
      <c r="J108" s="189"/>
      <c r="K108" s="189"/>
      <c r="M108" s="190"/>
      <c r="N108" s="190"/>
      <c r="O108" s="194"/>
      <c r="P108" s="199"/>
    </row>
    <row r="109" spans="2:25" s="311" customFormat="1" ht="25.5" customHeight="1">
      <c r="B109" s="1147" t="s">
        <v>346</v>
      </c>
      <c r="C109" s="1147"/>
      <c r="D109" s="1147"/>
      <c r="E109" s="1147"/>
      <c r="F109" s="1147"/>
      <c r="G109" s="305"/>
      <c r="H109" s="306"/>
      <c r="I109" s="305"/>
      <c r="J109" s="307"/>
      <c r="K109" s="308"/>
      <c r="L109" s="305"/>
      <c r="M109" s="309"/>
      <c r="N109" s="309"/>
      <c r="O109" s="305"/>
      <c r="P109" s="310"/>
    </row>
    <row r="110" spans="2:25" s="187" customFormat="1" ht="25.5" customHeight="1">
      <c r="B110" s="8" t="s">
        <v>206</v>
      </c>
      <c r="C110" s="545"/>
      <c r="D110" s="76"/>
      <c r="E110" s="76"/>
      <c r="F110" s="576"/>
      <c r="G110" s="194"/>
      <c r="H110" s="195"/>
      <c r="I110" s="194"/>
      <c r="J110" s="196"/>
      <c r="K110" s="197"/>
      <c r="L110" s="197"/>
      <c r="M110" s="194"/>
      <c r="N110" s="198"/>
      <c r="O110" s="198"/>
      <c r="P110" s="219"/>
      <c r="R110" s="192"/>
      <c r="S110" s="192"/>
    </row>
    <row r="111" spans="2:25" s="187" customFormat="1" ht="25.5" customHeight="1">
      <c r="B111" s="6"/>
      <c r="C111" s="6"/>
      <c r="D111" s="6"/>
      <c r="E111" s="6"/>
      <c r="F111" s="576"/>
      <c r="G111" s="194"/>
      <c r="H111" s="195"/>
      <c r="I111" s="194"/>
      <c r="J111" s="196"/>
      <c r="K111" s="197"/>
      <c r="L111" s="197"/>
      <c r="M111" s="194"/>
      <c r="N111" s="198"/>
      <c r="O111" s="198"/>
      <c r="P111" s="219"/>
      <c r="R111" s="192"/>
      <c r="S111" s="192"/>
    </row>
    <row r="112" spans="2:25" s="187" customFormat="1" ht="25.5" customHeight="1">
      <c r="B112" s="478" t="s">
        <v>208</v>
      </c>
      <c r="C112" s="547" t="s">
        <v>224</v>
      </c>
      <c r="D112" s="1149" t="s">
        <v>347</v>
      </c>
      <c r="E112" s="1149"/>
      <c r="F112" s="1149"/>
      <c r="G112" s="1149"/>
      <c r="H112" s="1149"/>
      <c r="I112" s="1149"/>
      <c r="J112" s="1149"/>
      <c r="K112" s="1149"/>
      <c r="L112" s="583"/>
      <c r="M112" s="284"/>
      <c r="N112" s="284"/>
      <c r="O112" s="198"/>
      <c r="P112" s="219"/>
      <c r="R112" s="192"/>
      <c r="S112" s="192"/>
    </row>
    <row r="113" spans="2:24" s="187" customFormat="1" ht="25.5" customHeight="1">
      <c r="B113" s="479" t="s">
        <v>77</v>
      </c>
      <c r="C113" s="548" t="s">
        <v>348</v>
      </c>
      <c r="D113" s="1190">
        <f>S3_storage.50_SUNET</f>
        <v>0.35</v>
      </c>
      <c r="E113" s="1190"/>
      <c r="F113" s="1167"/>
      <c r="G113" s="1167"/>
      <c r="H113" s="1167"/>
      <c r="I113" s="1167"/>
      <c r="J113" s="1167"/>
      <c r="K113" s="1167"/>
      <c r="L113" s="586"/>
      <c r="M113" s="312"/>
      <c r="N113" s="312"/>
      <c r="O113" s="198"/>
      <c r="P113" s="219"/>
      <c r="R113" s="192"/>
      <c r="S113" s="192"/>
    </row>
    <row r="114" spans="2:24" s="187" customFormat="1" ht="25.5" customHeight="1">
      <c r="B114" s="480" t="s">
        <v>77</v>
      </c>
      <c r="C114" s="549" t="s">
        <v>349</v>
      </c>
      <c r="D114" s="1189">
        <f>S3_storage.100_SUNET</f>
        <v>0.19</v>
      </c>
      <c r="E114" s="1189"/>
      <c r="F114" s="1171"/>
      <c r="G114" s="1171"/>
      <c r="H114" s="1171"/>
      <c r="I114" s="1171"/>
      <c r="J114" s="1171"/>
      <c r="K114" s="1171"/>
      <c r="L114" s="580"/>
      <c r="M114" s="313"/>
      <c r="N114" s="313"/>
      <c r="O114" s="198"/>
      <c r="P114" s="219"/>
      <c r="R114" s="192"/>
      <c r="S114" s="192"/>
    </row>
    <row r="115" spans="2:24" s="187" customFormat="1" ht="25.5" customHeight="1">
      <c r="B115" s="479" t="s">
        <v>77</v>
      </c>
      <c r="C115" s="548" t="s">
        <v>350</v>
      </c>
      <c r="D115" s="1188">
        <f>S3_storage.500_SUNET</f>
        <v>0.1</v>
      </c>
      <c r="E115" s="1188"/>
      <c r="F115" s="1170"/>
      <c r="G115" s="1170"/>
      <c r="H115" s="1170"/>
      <c r="I115" s="1170"/>
      <c r="J115" s="1170"/>
      <c r="K115" s="1170"/>
      <c r="L115" s="585"/>
      <c r="M115" s="314"/>
      <c r="N115" s="314"/>
      <c r="O115" s="198"/>
      <c r="P115" s="219"/>
      <c r="R115" s="192"/>
      <c r="S115" s="192"/>
    </row>
    <row r="116" spans="2:24" s="187" customFormat="1" ht="25.5" customHeight="1">
      <c r="B116" s="480" t="s">
        <v>77</v>
      </c>
      <c r="C116" s="549" t="s">
        <v>351</v>
      </c>
      <c r="D116" s="1189">
        <f>S3_storage.1000_SUNET</f>
        <v>0.06</v>
      </c>
      <c r="E116" s="1189"/>
      <c r="F116" s="1171"/>
      <c r="G116" s="1171"/>
      <c r="H116" s="1171"/>
      <c r="I116" s="1171"/>
      <c r="J116" s="1171"/>
      <c r="K116" s="1171"/>
      <c r="L116" s="580"/>
      <c r="M116" s="313"/>
      <c r="N116" s="313"/>
      <c r="O116" s="198"/>
      <c r="P116" s="219"/>
      <c r="R116" s="192"/>
      <c r="S116" s="192"/>
    </row>
    <row r="117" spans="2:24" s="187" customFormat="1" ht="25.5" customHeight="1">
      <c r="B117" s="479" t="s">
        <v>77</v>
      </c>
      <c r="C117" s="548" t="s">
        <v>82</v>
      </c>
      <c r="D117" s="1185" t="str">
        <f>S3_storage.quote_SUNET</f>
        <v>Be om offert</v>
      </c>
      <c r="E117" s="1185"/>
      <c r="F117" s="1172"/>
      <c r="G117" s="1172"/>
      <c r="H117" s="1172"/>
      <c r="I117" s="1172"/>
      <c r="J117" s="1172"/>
      <c r="K117" s="1172"/>
      <c r="L117" s="582"/>
      <c r="M117" s="315"/>
      <c r="N117" s="315"/>
      <c r="O117" s="198"/>
      <c r="P117" s="219"/>
      <c r="R117" s="192"/>
      <c r="S117" s="192"/>
    </row>
    <row r="118" spans="2:24" s="187" customFormat="1" ht="25.5" customHeight="1">
      <c r="B118" s="504"/>
      <c r="C118" s="558"/>
      <c r="D118" s="105"/>
      <c r="E118" s="105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219"/>
      <c r="R118" s="192"/>
      <c r="S118" s="192"/>
    </row>
    <row r="119" spans="2:24" s="261" customFormat="1" ht="25.5" customHeight="1">
      <c r="B119" s="505"/>
      <c r="C119" s="546"/>
      <c r="D119" s="140"/>
      <c r="E119" s="140"/>
      <c r="F119" s="576"/>
      <c r="G119" s="194"/>
      <c r="H119" s="195"/>
      <c r="I119" s="194"/>
      <c r="J119" s="196"/>
      <c r="K119" s="197"/>
      <c r="L119" s="197"/>
      <c r="M119" s="194"/>
      <c r="N119" s="198"/>
      <c r="O119" s="198"/>
      <c r="P119" s="316"/>
      <c r="R119" s="287"/>
      <c r="S119" s="287"/>
      <c r="T119" s="287"/>
      <c r="U119" s="287"/>
      <c r="V119" s="287"/>
      <c r="W119" s="287"/>
      <c r="X119" s="287"/>
    </row>
    <row r="120" spans="2:24" ht="25.5" customHeight="1">
      <c r="B120" s="478" t="s">
        <v>208</v>
      </c>
      <c r="C120" s="26"/>
      <c r="D120" s="26"/>
      <c r="E120" s="138" t="s">
        <v>210</v>
      </c>
      <c r="F120" s="1149" t="s">
        <v>221</v>
      </c>
      <c r="G120" s="1149"/>
      <c r="H120" s="285" t="s">
        <v>224</v>
      </c>
      <c r="I120" s="284"/>
      <c r="J120" s="284"/>
      <c r="K120" s="26" t="s">
        <v>352</v>
      </c>
      <c r="L120" s="284"/>
      <c r="M120" s="284"/>
      <c r="N120" s="583" t="s">
        <v>83</v>
      </c>
      <c r="O120" s="317"/>
      <c r="P120" s="219"/>
      <c r="R120" s="192"/>
      <c r="S120" s="192"/>
    </row>
    <row r="121" spans="2:24" s="268" customFormat="1" ht="25.5" customHeight="1">
      <c r="B121" s="506" t="s">
        <v>77</v>
      </c>
      <c r="C121" s="84"/>
      <c r="D121" s="84"/>
      <c r="E121" s="27">
        <f>F121/720</f>
        <v>4.861111111111111E-4</v>
      </c>
      <c r="F121" s="1186" cm="1">
        <f t="array" ref="F121">_xlfn.IFS(H121&lt;=299,D113,H121&lt;1000,D114,H121&lt;2000,D115,H121&gt;=2000,D116)</f>
        <v>0.35</v>
      </c>
      <c r="G121" s="1187"/>
      <c r="H121" s="318">
        <v>0</v>
      </c>
      <c r="I121" s="514" t="s">
        <v>84</v>
      </c>
      <c r="J121" s="320"/>
      <c r="K121" s="320" t="str" cm="1">
        <f t="array" ref="K121">_xlfn.IFS(H121&lt;=299,"6 månader",H121&lt;1000,"12 månader",H121&lt;2000,"12 månader",H121&gt;=2000,"36 månader")</f>
        <v>6 månader</v>
      </c>
      <c r="L121" s="320"/>
      <c r="M121" s="1191">
        <f>ROUNDUP((H121*1000)*F121,2)</f>
        <v>0</v>
      </c>
      <c r="N121" s="1191"/>
      <c r="O121" s="317"/>
      <c r="P121" s="281"/>
      <c r="R121" s="265"/>
      <c r="S121" s="265"/>
    </row>
    <row r="122" spans="2:24" ht="25.5" customHeight="1">
      <c r="B122" s="20" t="s">
        <v>85</v>
      </c>
      <c r="C122" s="551"/>
      <c r="D122" s="21"/>
      <c r="E122" s="21"/>
      <c r="F122" s="230"/>
      <c r="G122" s="231"/>
      <c r="H122" s="231"/>
      <c r="I122" s="231"/>
      <c r="J122" s="231"/>
      <c r="K122" s="322"/>
      <c r="L122" s="322"/>
      <c r="M122" s="1192">
        <f>SUM(M121)</f>
        <v>0</v>
      </c>
      <c r="N122" s="1192"/>
      <c r="O122" s="317"/>
      <c r="P122" s="219"/>
      <c r="R122" s="192"/>
      <c r="S122" s="192"/>
    </row>
    <row r="123" spans="2:24" ht="25.5" customHeight="1">
      <c r="B123" s="28"/>
      <c r="C123" s="559"/>
      <c r="D123" s="28"/>
      <c r="E123" s="28"/>
      <c r="F123" s="324"/>
      <c r="G123" s="325"/>
      <c r="H123" s="301"/>
      <c r="I123" s="301"/>
      <c r="J123" s="301"/>
      <c r="K123" s="326"/>
      <c r="L123" s="326"/>
      <c r="M123" s="304"/>
      <c r="N123" s="304"/>
      <c r="O123" s="317"/>
      <c r="P123" s="219"/>
      <c r="R123" s="192"/>
      <c r="S123" s="192"/>
    </row>
    <row r="124" spans="2:24" ht="25.5" customHeight="1">
      <c r="B124" s="28"/>
      <c r="C124" s="559"/>
      <c r="D124" s="28"/>
      <c r="E124" s="28"/>
      <c r="F124" s="324"/>
      <c r="G124" s="325"/>
      <c r="H124" s="301"/>
      <c r="I124" s="301"/>
      <c r="J124" s="301"/>
      <c r="K124" s="326"/>
      <c r="L124" s="326"/>
      <c r="M124" s="304"/>
      <c r="N124" s="304"/>
      <c r="O124" s="304"/>
      <c r="P124" s="219"/>
      <c r="R124" s="192"/>
      <c r="S124" s="192"/>
      <c r="V124" s="187"/>
    </row>
    <row r="125" spans="2:24" s="187" customFormat="1" ht="25.5" customHeight="1">
      <c r="B125" s="28"/>
      <c r="C125" s="559"/>
      <c r="D125" s="28"/>
      <c r="E125" s="28"/>
      <c r="F125" s="324"/>
      <c r="G125" s="325"/>
      <c r="H125" s="301"/>
      <c r="I125" s="301"/>
      <c r="J125" s="301"/>
      <c r="K125" s="326"/>
      <c r="L125" s="326"/>
      <c r="M125" s="304"/>
      <c r="N125" s="304"/>
      <c r="O125" s="304"/>
      <c r="P125" s="191"/>
    </row>
    <row r="126" spans="2:24" s="187" customFormat="1" ht="25.5" customHeight="1">
      <c r="B126" s="1140" t="s">
        <v>86</v>
      </c>
      <c r="C126" s="1140"/>
      <c r="D126" s="1140"/>
      <c r="E126" s="1140"/>
      <c r="F126" s="1140"/>
      <c r="G126" s="1140"/>
      <c r="H126" s="188"/>
      <c r="J126" s="189"/>
      <c r="K126" s="189"/>
      <c r="L126" s="189"/>
      <c r="N126" s="190"/>
      <c r="O126" s="190"/>
      <c r="P126" s="191"/>
    </row>
    <row r="127" spans="2:24" s="187" customFormat="1" ht="25.5" customHeight="1">
      <c r="B127" s="1140"/>
      <c r="C127" s="1140"/>
      <c r="D127" s="1140"/>
      <c r="E127" s="1140"/>
      <c r="F127" s="1140"/>
      <c r="G127" s="1140"/>
      <c r="H127" s="188"/>
      <c r="J127" s="189"/>
      <c r="K127" s="189"/>
      <c r="L127" s="189"/>
      <c r="N127" s="190"/>
      <c r="O127" s="190"/>
      <c r="P127" s="191"/>
    </row>
    <row r="128" spans="2:24" s="187" customFormat="1" ht="25.5" customHeight="1">
      <c r="B128" s="1140"/>
      <c r="C128" s="1140"/>
      <c r="D128" s="1140"/>
      <c r="E128" s="1140"/>
      <c r="F128" s="1140"/>
      <c r="G128" s="1140"/>
      <c r="H128" s="188"/>
      <c r="J128" s="189"/>
      <c r="K128" s="189"/>
      <c r="L128" s="189"/>
      <c r="N128" s="190"/>
      <c r="O128" s="190"/>
      <c r="P128" s="191"/>
    </row>
    <row r="129" spans="1:35" s="187" customFormat="1" ht="25.5" customHeight="1">
      <c r="B129" s="1155" t="s">
        <v>87</v>
      </c>
      <c r="C129" s="1155"/>
      <c r="D129" s="1155"/>
      <c r="E129" s="1155"/>
      <c r="F129" s="1155"/>
      <c r="H129" s="188"/>
      <c r="J129" s="189"/>
      <c r="K129" s="189"/>
      <c r="L129" s="189"/>
      <c r="N129" s="190"/>
      <c r="O129" s="190"/>
      <c r="P129" s="199"/>
    </row>
    <row r="130" spans="1:35" s="187" customFormat="1" ht="25.5" customHeight="1">
      <c r="B130" s="1125" t="s">
        <v>226</v>
      </c>
      <c r="C130" s="1125"/>
      <c r="D130" s="1125"/>
      <c r="E130" s="1125"/>
      <c r="F130" s="1125"/>
      <c r="G130" s="194"/>
      <c r="H130" s="195"/>
      <c r="I130" s="194"/>
      <c r="J130" s="196"/>
      <c r="K130" s="197"/>
      <c r="L130" s="197"/>
      <c r="M130" s="194"/>
      <c r="N130" s="198"/>
      <c r="O130" s="198"/>
      <c r="P130" s="199"/>
    </row>
    <row r="131" spans="1:35" s="201" customFormat="1" ht="25.5" customHeight="1">
      <c r="B131" s="8" t="s">
        <v>227</v>
      </c>
      <c r="C131" s="545"/>
      <c r="D131" s="76"/>
      <c r="E131" s="76"/>
      <c r="F131" s="576"/>
      <c r="G131" s="194"/>
      <c r="H131" s="195"/>
      <c r="I131" s="194"/>
      <c r="J131" s="196"/>
      <c r="K131" s="197"/>
      <c r="L131" s="197"/>
      <c r="M131" s="187"/>
      <c r="N131" s="198"/>
      <c r="O131" s="198"/>
      <c r="P131" s="219"/>
      <c r="R131" s="192"/>
      <c r="S131" s="192"/>
      <c r="T131" s="192"/>
      <c r="U131" s="192"/>
      <c r="V131" s="192"/>
      <c r="W131" s="192"/>
      <c r="X131" s="192"/>
      <c r="AA131" s="202"/>
      <c r="AB131" s="202"/>
      <c r="AC131" s="202"/>
    </row>
    <row r="132" spans="1:35" s="261" customFormat="1" ht="25.5" customHeight="1">
      <c r="A132" s="327"/>
      <c r="B132" s="29"/>
      <c r="C132" s="9"/>
      <c r="D132" s="9"/>
      <c r="E132" s="9"/>
      <c r="F132" s="201"/>
      <c r="G132" s="201"/>
      <c r="H132" s="201"/>
      <c r="I132" s="201"/>
      <c r="J132" s="201"/>
      <c r="K132" s="201"/>
      <c r="L132" s="201"/>
      <c r="M132" s="168"/>
      <c r="N132" s="271"/>
      <c r="O132" s="271"/>
      <c r="P132" s="316"/>
      <c r="S132" s="287"/>
      <c r="T132" s="287"/>
      <c r="U132" s="287"/>
      <c r="V132" s="287"/>
      <c r="W132" s="287"/>
      <c r="X132" s="287"/>
    </row>
    <row r="133" spans="1:35" ht="25">
      <c r="A133" s="328"/>
      <c r="B133" s="478" t="s">
        <v>208</v>
      </c>
      <c r="C133" s="1149" t="s">
        <v>228</v>
      </c>
      <c r="D133" s="1149"/>
      <c r="E133" s="138" t="s">
        <v>210</v>
      </c>
      <c r="F133" s="1149" t="s">
        <v>221</v>
      </c>
      <c r="G133" s="1149"/>
      <c r="H133" s="285" t="s">
        <v>90</v>
      </c>
      <c r="I133" s="284"/>
      <c r="J133" s="1124" t="s">
        <v>229</v>
      </c>
      <c r="K133" s="1124"/>
      <c r="L133" s="581"/>
      <c r="M133" s="284"/>
      <c r="N133" s="583" t="s">
        <v>92</v>
      </c>
      <c r="O133" s="271"/>
      <c r="P133" s="205"/>
    </row>
    <row r="134" spans="1:35" ht="25.5" customHeight="1">
      <c r="A134" s="328"/>
      <c r="B134" s="577" t="s">
        <v>93</v>
      </c>
      <c r="C134" s="516"/>
      <c r="D134" s="31" t="s">
        <v>94</v>
      </c>
      <c r="E134" s="31" t="s">
        <v>94</v>
      </c>
      <c r="F134" s="1173">
        <f>BAAS_on.demand_SEK</f>
        <v>2.4500000000000002</v>
      </c>
      <c r="G134" s="1174"/>
      <c r="H134" s="329">
        <v>0</v>
      </c>
      <c r="I134" s="512" t="s">
        <v>69</v>
      </c>
      <c r="J134" s="1129" t="s">
        <v>94</v>
      </c>
      <c r="K134" s="1129"/>
      <c r="L134" s="330"/>
      <c r="M134" s="291"/>
      <c r="N134" s="293">
        <f>ROUNDUP(H134*F134,2)</f>
        <v>0</v>
      </c>
      <c r="O134" s="271"/>
      <c r="P134" s="205"/>
    </row>
    <row r="135" spans="1:35" ht="25.5" customHeight="1">
      <c r="A135" s="328"/>
      <c r="B135" s="578" t="s">
        <v>95</v>
      </c>
      <c r="C135" s="518"/>
      <c r="D135" s="33">
        <v>5500</v>
      </c>
      <c r="E135" s="34" t="s">
        <v>94</v>
      </c>
      <c r="F135" s="1175">
        <f>BAAS_small_SEK</f>
        <v>1.75</v>
      </c>
      <c r="G135" s="1176"/>
      <c r="H135" s="331">
        <v>0</v>
      </c>
      <c r="I135" s="513" t="s">
        <v>69</v>
      </c>
      <c r="J135" s="1133">
        <v>0.75</v>
      </c>
      <c r="K135" s="1134"/>
      <c r="L135" s="295"/>
      <c r="M135" s="295"/>
      <c r="N135" s="297">
        <f>IF(H135&gt;0,IF(SUM($D$135+($F$135*((H135*(1-$J$135))-1000)))&lt;=D135,$D$135,$D$135+($F$135*((H135*(1-$J$135))-1000))),0)</f>
        <v>0</v>
      </c>
      <c r="O135" s="271"/>
      <c r="P135" s="205"/>
    </row>
    <row r="136" spans="1:35" s="335" customFormat="1" ht="25.5" customHeight="1">
      <c r="A136" s="332"/>
      <c r="B136" s="579" t="s">
        <v>96</v>
      </c>
      <c r="C136" s="517"/>
      <c r="D136" s="35">
        <v>9500</v>
      </c>
      <c r="E136" s="37" t="s">
        <v>94</v>
      </c>
      <c r="F136" s="1177">
        <f>BAAS_large_SEK</f>
        <v>0.92</v>
      </c>
      <c r="G136" s="1178"/>
      <c r="H136" s="318">
        <v>0</v>
      </c>
      <c r="I136" s="514" t="s">
        <v>69</v>
      </c>
      <c r="J136" s="1138">
        <v>0.75</v>
      </c>
      <c r="K136" s="1139"/>
      <c r="L136" s="319"/>
      <c r="M136" s="319"/>
      <c r="N136" s="321">
        <f>IF(H136&gt;0,$D$136+($F$136*(H136*(1-$J$136))),0)</f>
        <v>0</v>
      </c>
      <c r="O136" s="271"/>
      <c r="P136" s="334"/>
      <c r="W136" s="202"/>
      <c r="X136" s="202"/>
      <c r="Y136" s="202"/>
      <c r="Z136" s="202"/>
      <c r="AA136" s="202"/>
      <c r="AB136" s="202"/>
      <c r="AC136" s="202"/>
      <c r="AD136" s="202"/>
      <c r="AE136" s="202"/>
      <c r="AF136" s="202"/>
      <c r="AG136" s="202"/>
      <c r="AH136" s="202"/>
      <c r="AI136" s="202"/>
    </row>
    <row r="137" spans="1:35" s="335" customFormat="1" ht="25.5" customHeight="1">
      <c r="A137" s="332"/>
      <c r="B137" s="20" t="s">
        <v>85</v>
      </c>
      <c r="C137" s="551"/>
      <c r="D137" s="21"/>
      <c r="E137" s="21"/>
      <c r="F137" s="230"/>
      <c r="G137" s="231"/>
      <c r="H137" s="299" t="str">
        <f>SUM(H134:H136)&amp;" GB"</f>
        <v>0 GB</v>
      </c>
      <c r="I137" s="231"/>
      <c r="J137" s="231"/>
      <c r="K137" s="322"/>
      <c r="L137" s="322"/>
      <c r="N137" s="90">
        <f>SUM(N134:N136)</f>
        <v>0</v>
      </c>
      <c r="O137" s="271"/>
      <c r="P137" s="334"/>
      <c r="R137" s="336"/>
      <c r="W137" s="202"/>
      <c r="X137" s="202"/>
      <c r="Y137" s="202"/>
      <c r="Z137" s="202"/>
      <c r="AA137" s="202"/>
      <c r="AB137" s="202"/>
      <c r="AC137" s="202"/>
      <c r="AD137" s="202"/>
      <c r="AE137" s="202"/>
      <c r="AF137" s="202"/>
      <c r="AG137" s="202"/>
      <c r="AH137" s="202"/>
      <c r="AI137" s="202"/>
    </row>
    <row r="138" spans="1:35" s="335" customFormat="1" ht="25.5" customHeight="1">
      <c r="A138" s="332"/>
      <c r="B138" s="20"/>
      <c r="C138" s="551"/>
      <c r="D138" s="21"/>
      <c r="E138" s="21"/>
      <c r="F138" s="230"/>
      <c r="G138" s="231"/>
      <c r="H138" s="231"/>
      <c r="I138" s="231"/>
      <c r="J138" s="231"/>
      <c r="K138" s="322"/>
      <c r="L138" s="322"/>
      <c r="M138" s="50"/>
      <c r="N138" s="50"/>
      <c r="O138" s="271"/>
      <c r="P138" s="334"/>
      <c r="R138" s="336"/>
      <c r="W138" s="202"/>
      <c r="X138" s="202"/>
      <c r="Y138" s="202"/>
      <c r="Z138" s="202"/>
      <c r="AA138" s="202"/>
      <c r="AB138" s="202"/>
      <c r="AC138" s="202"/>
      <c r="AD138" s="202"/>
      <c r="AE138" s="202"/>
      <c r="AF138" s="202"/>
      <c r="AG138" s="202"/>
      <c r="AH138" s="202"/>
      <c r="AI138" s="202"/>
    </row>
    <row r="139" spans="1:35" s="335" customFormat="1" ht="25.5" customHeight="1">
      <c r="A139" s="332"/>
      <c r="B139" s="30" t="s">
        <v>230</v>
      </c>
      <c r="C139" s="551"/>
      <c r="D139" s="21"/>
      <c r="E139" s="21"/>
      <c r="F139" s="230"/>
      <c r="G139" s="231"/>
      <c r="H139" s="231"/>
      <c r="I139" s="231"/>
      <c r="J139" s="231"/>
      <c r="K139" s="322"/>
      <c r="L139" s="322"/>
      <c r="M139" s="50"/>
      <c r="N139" s="50"/>
      <c r="O139" s="50"/>
      <c r="P139" s="334"/>
      <c r="R139" s="336"/>
      <c r="W139" s="202"/>
      <c r="X139" s="202"/>
      <c r="Y139" s="202"/>
      <c r="Z139" s="202"/>
      <c r="AA139" s="202"/>
      <c r="AB139" s="202"/>
      <c r="AC139" s="202"/>
      <c r="AD139" s="202"/>
      <c r="AE139" s="202"/>
      <c r="AF139" s="202"/>
      <c r="AG139" s="202"/>
      <c r="AH139" s="202"/>
      <c r="AI139" s="202"/>
    </row>
    <row r="140" spans="1:35" ht="25.5" customHeight="1">
      <c r="B140" s="30" t="s">
        <v>231</v>
      </c>
      <c r="C140" s="551"/>
      <c r="D140" s="21"/>
      <c r="E140" s="21"/>
      <c r="F140" s="230"/>
      <c r="G140" s="231"/>
      <c r="H140" s="231"/>
      <c r="I140" s="231"/>
      <c r="J140" s="231"/>
      <c r="K140" s="322"/>
      <c r="L140" s="322"/>
      <c r="M140" s="50"/>
      <c r="N140" s="50"/>
      <c r="O140" s="50"/>
      <c r="P140" s="219"/>
      <c r="R140" s="192"/>
      <c r="S140" s="192"/>
    </row>
    <row r="141" spans="1:35" ht="25.5" customHeight="1">
      <c r="B141" s="30" t="s">
        <v>232</v>
      </c>
      <c r="C141" s="559"/>
      <c r="D141" s="28"/>
      <c r="E141" s="28"/>
      <c r="F141" s="324"/>
      <c r="G141" s="325"/>
      <c r="H141" s="301"/>
      <c r="I141" s="301"/>
      <c r="J141" s="301"/>
      <c r="K141" s="326"/>
      <c r="L141" s="326"/>
      <c r="M141" s="304"/>
      <c r="N141" s="304"/>
      <c r="O141" s="304"/>
      <c r="P141" s="219"/>
      <c r="R141" s="192"/>
      <c r="S141" s="192"/>
    </row>
    <row r="142" spans="1:35" ht="25.5" customHeight="1">
      <c r="B142" s="30" t="s">
        <v>233</v>
      </c>
      <c r="C142" s="559"/>
      <c r="D142" s="28"/>
      <c r="E142" s="28"/>
      <c r="F142" s="324"/>
      <c r="G142" s="325"/>
      <c r="H142" s="301"/>
      <c r="I142" s="301"/>
      <c r="J142" s="301"/>
      <c r="K142" s="326"/>
      <c r="L142" s="304"/>
      <c r="M142" s="304"/>
      <c r="N142" s="304"/>
      <c r="O142" s="201"/>
      <c r="P142" s="219"/>
      <c r="Q142" s="192"/>
      <c r="R142" s="192"/>
    </row>
    <row r="143" spans="1:35" ht="25.5" customHeight="1">
      <c r="B143" s="30"/>
      <c r="C143" s="559"/>
      <c r="D143" s="28"/>
      <c r="E143" s="28"/>
      <c r="F143" s="324"/>
      <c r="G143" s="325"/>
      <c r="H143" s="301"/>
      <c r="I143" s="301"/>
      <c r="J143" s="301"/>
      <c r="K143" s="326"/>
      <c r="L143" s="304"/>
      <c r="M143" s="304"/>
      <c r="N143" s="304"/>
      <c r="O143" s="201"/>
      <c r="P143" s="219"/>
      <c r="Q143" s="192"/>
      <c r="R143" s="192"/>
    </row>
    <row r="144" spans="1:35" ht="25.5" customHeight="1">
      <c r="B144" s="30"/>
      <c r="C144" s="559"/>
      <c r="D144" s="28"/>
      <c r="E144" s="28"/>
      <c r="F144" s="324"/>
      <c r="G144" s="325"/>
      <c r="H144" s="301"/>
      <c r="I144" s="301"/>
      <c r="J144" s="301"/>
      <c r="K144" s="326"/>
      <c r="L144" s="304"/>
      <c r="M144" s="304"/>
      <c r="N144" s="304"/>
      <c r="O144" s="201"/>
      <c r="P144" s="219"/>
      <c r="Q144" s="192"/>
      <c r="R144" s="192"/>
    </row>
    <row r="145" spans="1:23" ht="25.5" customHeight="1">
      <c r="B145" s="30"/>
      <c r="C145" s="559"/>
      <c r="D145" s="28"/>
      <c r="E145" s="28"/>
      <c r="F145" s="324"/>
      <c r="G145" s="325"/>
      <c r="H145" s="301"/>
      <c r="I145" s="301"/>
      <c r="J145" s="301"/>
      <c r="K145" s="326"/>
      <c r="L145" s="304"/>
      <c r="M145" s="304"/>
      <c r="N145" s="304"/>
      <c r="O145" s="201"/>
      <c r="P145" s="219"/>
      <c r="Q145" s="192"/>
      <c r="R145" s="192"/>
    </row>
    <row r="146" spans="1:23" ht="25.5" customHeight="1">
      <c r="A146" s="362"/>
      <c r="B146" s="68"/>
      <c r="C146" s="560"/>
      <c r="D146" s="62"/>
      <c r="E146" s="62"/>
      <c r="F146" s="363"/>
      <c r="G146" s="364"/>
      <c r="H146" s="365"/>
      <c r="I146" s="365"/>
      <c r="J146" s="365"/>
      <c r="K146" s="366"/>
      <c r="L146" s="367"/>
      <c r="M146" s="367"/>
      <c r="N146" s="367"/>
      <c r="O146" s="368"/>
      <c r="P146" s="219"/>
      <c r="Q146" s="192"/>
      <c r="R146" s="192"/>
    </row>
    <row r="147" spans="1:23" s="187" customFormat="1" ht="25.5" customHeight="1">
      <c r="A147" s="169"/>
      <c r="B147" s="56"/>
      <c r="C147" s="561"/>
      <c r="D147" s="56"/>
      <c r="E147" s="56"/>
      <c r="F147" s="369"/>
      <c r="G147" s="370"/>
      <c r="H147" s="371"/>
      <c r="I147" s="371"/>
      <c r="J147" s="371"/>
      <c r="K147" s="372"/>
      <c r="L147" s="373"/>
      <c r="M147" s="373"/>
      <c r="N147" s="373"/>
      <c r="O147" s="169"/>
      <c r="P147" s="191"/>
    </row>
    <row r="148" spans="1:23" s="187" customFormat="1" ht="25.5" customHeight="1">
      <c r="A148" s="169"/>
      <c r="B148" s="56"/>
      <c r="C148" s="561"/>
      <c r="D148" s="56"/>
      <c r="E148" s="56"/>
      <c r="F148" s="369"/>
      <c r="G148" s="370"/>
      <c r="H148" s="371"/>
      <c r="I148" s="371"/>
      <c r="J148" s="371"/>
      <c r="K148" s="372"/>
      <c r="L148" s="373"/>
      <c r="M148" s="373"/>
      <c r="N148" s="373"/>
      <c r="O148" s="169"/>
      <c r="P148" s="191"/>
    </row>
    <row r="149" spans="1:23" s="187" customFormat="1" ht="25.5" customHeight="1">
      <c r="A149" s="169"/>
      <c r="B149" s="56"/>
      <c r="C149" s="561"/>
      <c r="D149" s="56"/>
      <c r="E149" s="56"/>
      <c r="F149" s="369"/>
      <c r="G149" s="370"/>
      <c r="H149" s="371"/>
      <c r="I149" s="371"/>
      <c r="J149" s="371"/>
      <c r="K149" s="372"/>
      <c r="L149" s="373"/>
      <c r="M149" s="373"/>
      <c r="N149" s="373"/>
      <c r="O149" s="169"/>
      <c r="P149" s="191"/>
    </row>
    <row r="150" spans="1:23" s="187" customFormat="1" ht="25.5" customHeight="1">
      <c r="A150" s="169"/>
      <c r="B150" s="1156" t="s">
        <v>261</v>
      </c>
      <c r="C150" s="1156"/>
      <c r="D150" s="1156"/>
      <c r="E150" s="1156"/>
      <c r="F150" s="1156"/>
      <c r="G150" s="1156"/>
      <c r="H150" s="172"/>
      <c r="I150" s="169"/>
      <c r="J150" s="173"/>
      <c r="K150" s="173"/>
      <c r="L150" s="169"/>
      <c r="M150" s="174"/>
      <c r="N150" s="174"/>
      <c r="O150" s="169"/>
      <c r="P150" s="191"/>
    </row>
    <row r="151" spans="1:23" s="187" customFormat="1" ht="25.5" customHeight="1">
      <c r="A151" s="169"/>
      <c r="B151" s="1156"/>
      <c r="C151" s="1156"/>
      <c r="D151" s="1156"/>
      <c r="E151" s="1156"/>
      <c r="F151" s="1156"/>
      <c r="G151" s="1156"/>
      <c r="H151" s="172"/>
      <c r="I151" s="169"/>
      <c r="J151" s="173"/>
      <c r="K151" s="173"/>
      <c r="L151" s="169"/>
      <c r="M151" s="174"/>
      <c r="N151" s="174"/>
      <c r="O151" s="169"/>
      <c r="P151" s="191"/>
    </row>
    <row r="152" spans="1:23" s="187" customFormat="1" ht="25.5" customHeight="1">
      <c r="A152" s="169"/>
      <c r="B152" s="1156"/>
      <c r="C152" s="1156"/>
      <c r="D152" s="1156"/>
      <c r="E152" s="1156"/>
      <c r="F152" s="1156"/>
      <c r="G152" s="1156"/>
      <c r="H152" s="172"/>
      <c r="I152" s="169"/>
      <c r="J152" s="173"/>
      <c r="K152" s="173"/>
      <c r="L152" s="169"/>
      <c r="M152" s="174"/>
      <c r="N152" s="174"/>
      <c r="O152" s="169"/>
      <c r="P152" s="191"/>
    </row>
    <row r="153" spans="1:23" s="187" customFormat="1" ht="25.5" customHeight="1">
      <c r="A153" s="169"/>
      <c r="B153" s="1179" t="s">
        <v>226</v>
      </c>
      <c r="C153" s="1179"/>
      <c r="D153" s="1179"/>
      <c r="E153" s="1179"/>
      <c r="F153" s="1179"/>
      <c r="G153" s="169"/>
      <c r="H153" s="172"/>
      <c r="I153" s="169"/>
      <c r="J153" s="173"/>
      <c r="K153" s="173"/>
      <c r="L153" s="169"/>
      <c r="M153" s="174"/>
      <c r="N153" s="174"/>
      <c r="O153" s="374"/>
      <c r="P153" s="199"/>
    </row>
    <row r="154" spans="1:23" s="187" customFormat="1" ht="25.5" customHeight="1">
      <c r="A154" s="169"/>
      <c r="B154" s="64"/>
      <c r="C154" s="3"/>
      <c r="D154" s="64"/>
      <c r="E154" s="64"/>
      <c r="F154" s="170"/>
      <c r="G154" s="169"/>
      <c r="H154" s="172"/>
      <c r="I154" s="169"/>
      <c r="J154" s="173"/>
      <c r="K154" s="173"/>
      <c r="L154" s="169"/>
      <c r="M154" s="174"/>
      <c r="N154" s="174"/>
      <c r="O154" s="374"/>
      <c r="P154" s="199"/>
    </row>
    <row r="155" spans="1:23" s="187" customFormat="1" ht="25.5" customHeight="1">
      <c r="A155" s="169"/>
      <c r="B155" s="70" t="s">
        <v>262</v>
      </c>
      <c r="C155" s="3"/>
      <c r="D155" s="64"/>
      <c r="E155" s="64"/>
      <c r="F155" s="170"/>
      <c r="G155" s="169"/>
      <c r="H155" s="172"/>
      <c r="I155" s="169"/>
      <c r="J155" s="173"/>
      <c r="K155" s="173"/>
      <c r="L155" s="169"/>
      <c r="M155" s="174"/>
      <c r="N155" s="174"/>
      <c r="O155" s="374"/>
      <c r="P155" s="199"/>
    </row>
    <row r="156" spans="1:23" s="187" customFormat="1" ht="25.5" customHeight="1">
      <c r="A156" s="169"/>
      <c r="B156" s="449" t="s">
        <v>202</v>
      </c>
      <c r="C156" s="3"/>
      <c r="D156" s="64"/>
      <c r="E156" s="64"/>
      <c r="F156" s="170"/>
      <c r="G156" s="169"/>
      <c r="H156" s="172"/>
      <c r="I156" s="169"/>
      <c r="J156" s="173"/>
      <c r="K156" s="173"/>
      <c r="L156" s="169"/>
      <c r="M156" s="174"/>
      <c r="N156" s="174"/>
      <c r="O156" s="374"/>
      <c r="P156" s="199"/>
    </row>
    <row r="157" spans="1:23" s="187" customFormat="1" ht="25.5" customHeight="1">
      <c r="A157" s="169"/>
      <c r="B157" s="71" t="s">
        <v>193</v>
      </c>
      <c r="C157" s="69"/>
      <c r="D157" s="69"/>
      <c r="E157" s="69"/>
      <c r="F157" s="375"/>
      <c r="G157" s="374"/>
      <c r="H157" s="376"/>
      <c r="I157" s="374"/>
      <c r="J157" s="377"/>
      <c r="K157" s="378"/>
      <c r="L157" s="374"/>
      <c r="M157" s="379"/>
      <c r="N157" s="379"/>
      <c r="O157" s="374"/>
      <c r="P157" s="199"/>
    </row>
    <row r="158" spans="1:23" s="261" customFormat="1" ht="25.5" customHeight="1">
      <c r="A158" s="380"/>
      <c r="B158" s="142"/>
      <c r="C158" s="69"/>
      <c r="D158" s="142"/>
      <c r="E158" s="142"/>
      <c r="F158" s="587"/>
      <c r="G158" s="374"/>
      <c r="H158" s="376"/>
      <c r="I158" s="374"/>
      <c r="J158" s="377"/>
      <c r="K158" s="378"/>
      <c r="L158" s="374"/>
      <c r="M158" s="379"/>
      <c r="N158" s="379"/>
      <c r="O158" s="380"/>
      <c r="P158" s="316"/>
      <c r="Q158" s="381"/>
      <c r="R158" s="287"/>
      <c r="S158" s="287"/>
      <c r="T158" s="287"/>
      <c r="U158" s="287"/>
      <c r="V158" s="287"/>
      <c r="W158" s="287"/>
    </row>
    <row r="159" spans="1:23" ht="25.5" customHeight="1">
      <c r="A159" s="382"/>
      <c r="B159" s="57" t="s">
        <v>263</v>
      </c>
      <c r="C159" s="58"/>
      <c r="D159" s="59"/>
      <c r="E159" s="58"/>
      <c r="F159" s="384"/>
      <c r="G159" s="384"/>
      <c r="H159" s="384"/>
      <c r="I159" s="384"/>
      <c r="J159" s="384"/>
      <c r="K159" s="383"/>
      <c r="L159" s="383"/>
      <c r="M159" s="384" t="s">
        <v>261</v>
      </c>
      <c r="N159" s="385"/>
      <c r="O159" s="386"/>
      <c r="P159" s="205"/>
      <c r="Q159" s="336"/>
    </row>
    <row r="160" spans="1:23" ht="25.5" customHeight="1">
      <c r="A160" s="382"/>
      <c r="B160" s="1182" t="s">
        <v>196</v>
      </c>
      <c r="C160" s="1182"/>
      <c r="D160" s="72"/>
      <c r="E160" s="73"/>
      <c r="F160" s="387"/>
      <c r="G160" s="388"/>
      <c r="H160" s="388"/>
      <c r="I160" s="388"/>
      <c r="J160" s="388"/>
      <c r="K160" s="535"/>
      <c r="L160" s="535"/>
      <c r="M160" s="388">
        <f>M86+M94+M60+M36+N101</f>
        <v>0</v>
      </c>
      <c r="N160" s="293"/>
      <c r="O160" s="382"/>
      <c r="P160" s="205"/>
      <c r="Q160" s="336"/>
    </row>
    <row r="161" spans="1:17" ht="25.5" customHeight="1">
      <c r="A161" s="382"/>
      <c r="B161" s="1183" t="s">
        <v>197</v>
      </c>
      <c r="C161" s="1183"/>
      <c r="D161" s="74"/>
      <c r="E161" s="75"/>
      <c r="F161" s="391"/>
      <c r="G161" s="392"/>
      <c r="H161" s="392"/>
      <c r="I161" s="392"/>
      <c r="J161" s="392"/>
      <c r="K161" s="536"/>
      <c r="L161" s="536"/>
      <c r="M161" s="392">
        <f>M122</f>
        <v>0</v>
      </c>
      <c r="N161" s="293"/>
      <c r="O161" s="382"/>
      <c r="P161" s="205"/>
      <c r="Q161" s="336"/>
    </row>
    <row r="162" spans="1:17" ht="25.5" customHeight="1">
      <c r="A162" s="382"/>
      <c r="B162" s="143" t="s">
        <v>198</v>
      </c>
      <c r="C162" s="542"/>
      <c r="D162" s="74"/>
      <c r="E162" s="75"/>
      <c r="F162" s="391"/>
      <c r="G162" s="392"/>
      <c r="H162" s="392"/>
      <c r="I162" s="392"/>
      <c r="J162" s="392"/>
      <c r="K162" s="536"/>
      <c r="L162" s="536"/>
      <c r="M162" s="392">
        <f>N137</f>
        <v>0</v>
      </c>
      <c r="N162" s="293"/>
      <c r="O162" s="382"/>
      <c r="P162" s="205"/>
      <c r="Q162" s="336"/>
    </row>
    <row r="163" spans="1:17" s="397" customFormat="1" ht="25.5" customHeight="1">
      <c r="A163" s="395"/>
      <c r="B163" s="1184" t="s">
        <v>199</v>
      </c>
      <c r="C163" s="1184"/>
      <c r="D163" s="35"/>
      <c r="E163" s="36"/>
      <c r="F163" s="333"/>
      <c r="G163" s="592"/>
      <c r="H163" s="592"/>
      <c r="I163" s="592"/>
      <c r="J163" s="592"/>
      <c r="K163" s="537"/>
      <c r="L163" s="537"/>
      <c r="M163" s="592">
        <f>N86+N94+N60+N36</f>
        <v>0</v>
      </c>
      <c r="N163" s="293"/>
      <c r="O163" s="395"/>
      <c r="P163" s="396"/>
    </row>
    <row r="164" spans="1:17" ht="25.5" customHeight="1">
      <c r="A164" s="382"/>
      <c r="B164" s="60" t="s">
        <v>85</v>
      </c>
      <c r="C164" s="562"/>
      <c r="D164" s="61"/>
      <c r="E164" s="61"/>
      <c r="F164" s="398"/>
      <c r="G164" s="399"/>
      <c r="H164" s="399"/>
      <c r="I164" s="399"/>
      <c r="J164" s="1181">
        <f>SUM(M160:M163)</f>
        <v>0</v>
      </c>
      <c r="K164" s="1181"/>
      <c r="L164" s="1181"/>
      <c r="M164" s="1181"/>
      <c r="N164" s="400"/>
      <c r="O164" s="382"/>
      <c r="P164" s="205"/>
    </row>
    <row r="165" spans="1:17" ht="25.5" customHeight="1">
      <c r="A165" s="382"/>
      <c r="B165" s="60"/>
      <c r="C165" s="562"/>
      <c r="D165" s="61"/>
      <c r="E165" s="61"/>
      <c r="F165" s="398"/>
      <c r="G165" s="399"/>
      <c r="H165" s="399"/>
      <c r="I165" s="399"/>
      <c r="J165" s="400"/>
      <c r="K165" s="400"/>
      <c r="L165" s="400"/>
      <c r="M165" s="400"/>
      <c r="N165" s="400"/>
      <c r="O165" s="382"/>
      <c r="P165" s="205"/>
    </row>
    <row r="166" spans="1:17" ht="25.5" customHeight="1">
      <c r="A166" s="382"/>
      <c r="B166" s="534" t="s">
        <v>353</v>
      </c>
      <c r="C166" s="542"/>
      <c r="D166" s="542"/>
      <c r="E166" s="75"/>
      <c r="F166" s="391"/>
      <c r="G166" s="392"/>
      <c r="H166" s="392"/>
      <c r="I166" s="392"/>
      <c r="J166" s="392"/>
      <c r="K166" s="393"/>
      <c r="L166" s="393"/>
      <c r="M166" s="392">
        <f>M160*0.88+M161+M162+M163</f>
        <v>0</v>
      </c>
      <c r="N166" s="293"/>
      <c r="O166" s="382"/>
      <c r="P166" s="205"/>
      <c r="Q166" s="336"/>
    </row>
    <row r="167" spans="1:17" ht="25.5" customHeight="1">
      <c r="A167" s="382"/>
      <c r="B167" s="534" t="s">
        <v>354</v>
      </c>
      <c r="C167" s="542"/>
      <c r="D167" s="542"/>
      <c r="E167" s="75"/>
      <c r="F167" s="391"/>
      <c r="G167" s="392"/>
      <c r="H167" s="392"/>
      <c r="I167" s="392"/>
      <c r="J167" s="392"/>
      <c r="K167" s="393"/>
      <c r="L167" s="393"/>
      <c r="M167" s="392">
        <f>M160*0.76+M161+M162+M163</f>
        <v>0</v>
      </c>
      <c r="N167" s="293"/>
      <c r="O167" s="382"/>
      <c r="P167" s="205"/>
      <c r="Q167" s="336"/>
    </row>
    <row r="168" spans="1:17" ht="25.5" customHeight="1">
      <c r="A168" s="382"/>
      <c r="B168" s="32"/>
      <c r="C168" s="41"/>
      <c r="D168" s="38"/>
      <c r="E168" s="39"/>
      <c r="F168" s="341"/>
      <c r="G168" s="590"/>
      <c r="H168" s="340"/>
      <c r="I168" s="291"/>
      <c r="J168" s="401"/>
      <c r="K168" s="291"/>
      <c r="L168" s="402"/>
      <c r="M168" s="293"/>
      <c r="N168" s="293"/>
      <c r="O168" s="382"/>
      <c r="P168" s="205"/>
    </row>
    <row r="169" spans="1:17" ht="25.5" customHeight="1">
      <c r="A169" s="403"/>
      <c r="B169" s="44"/>
      <c r="C169" s="563"/>
      <c r="D169" s="35"/>
      <c r="E169" s="36"/>
      <c r="F169" s="405"/>
      <c r="G169" s="592"/>
      <c r="H169" s="404"/>
      <c r="I169" s="319"/>
      <c r="J169" s="406"/>
      <c r="K169" s="319"/>
      <c r="L169" s="407"/>
      <c r="M169" s="321"/>
      <c r="N169" s="321"/>
      <c r="O169" s="408"/>
      <c r="P169" s="205"/>
    </row>
    <row r="170" spans="1:17" s="409" customFormat="1" ht="24" customHeight="1">
      <c r="B170" s="112"/>
      <c r="C170" s="564"/>
      <c r="D170" s="113"/>
      <c r="E170" s="114"/>
      <c r="F170" s="411"/>
      <c r="G170" s="412"/>
      <c r="H170" s="410"/>
      <c r="I170" s="413"/>
      <c r="J170" s="414"/>
      <c r="K170" s="413"/>
      <c r="L170" s="415"/>
      <c r="M170" s="416"/>
      <c r="N170" s="416"/>
      <c r="O170" s="417"/>
    </row>
    <row r="171" spans="1:17" s="409" customFormat="1" ht="24" customHeight="1">
      <c r="B171" s="112"/>
      <c r="C171" s="564"/>
      <c r="D171" s="112"/>
      <c r="E171" s="112"/>
      <c r="F171" s="418"/>
      <c r="G171" s="419"/>
      <c r="H171" s="420"/>
      <c r="I171" s="420"/>
      <c r="J171" s="420"/>
      <c r="K171" s="421"/>
      <c r="L171" s="416"/>
      <c r="M171" s="416"/>
      <c r="N171" s="416"/>
      <c r="O171" s="417"/>
    </row>
    <row r="172" spans="1:17" s="409" customFormat="1" ht="24" customHeight="1">
      <c r="B172" s="112"/>
      <c r="C172" s="564"/>
      <c r="D172" s="112"/>
      <c r="E172" s="112"/>
      <c r="F172" s="418"/>
      <c r="G172" s="419"/>
      <c r="H172" s="420"/>
      <c r="I172" s="420"/>
      <c r="J172" s="420"/>
      <c r="K172" s="421"/>
      <c r="L172" s="416"/>
      <c r="M172" s="416"/>
      <c r="N172" s="416"/>
      <c r="O172" s="417"/>
    </row>
    <row r="173" spans="1:17" s="409" customFormat="1" ht="24" customHeight="1">
      <c r="B173" s="112"/>
      <c r="C173" s="564"/>
      <c r="D173" s="112"/>
      <c r="E173" s="112"/>
      <c r="F173" s="418"/>
      <c r="G173" s="419"/>
      <c r="H173" s="420"/>
      <c r="I173" s="420"/>
      <c r="J173" s="420"/>
      <c r="K173" s="421"/>
      <c r="L173" s="416"/>
      <c r="M173" s="416"/>
      <c r="N173" s="416"/>
      <c r="O173" s="417"/>
    </row>
    <row r="174" spans="1:17" s="409" customFormat="1" ht="24" customHeight="1">
      <c r="B174" s="112"/>
      <c r="C174" s="564"/>
      <c r="D174" s="112"/>
      <c r="E174" s="112"/>
      <c r="F174" s="418"/>
      <c r="G174" s="419"/>
      <c r="H174" s="420"/>
      <c r="I174" s="420"/>
      <c r="J174" s="420"/>
      <c r="K174" s="421"/>
      <c r="L174" s="416"/>
      <c r="M174" s="416"/>
      <c r="N174" s="416"/>
      <c r="O174" s="417"/>
    </row>
    <row r="175" spans="1:17" s="409" customFormat="1" ht="24" customHeight="1">
      <c r="B175" s="112"/>
      <c r="C175" s="564"/>
      <c r="D175" s="112"/>
      <c r="E175" s="112"/>
      <c r="F175" s="418"/>
      <c r="G175" s="419"/>
      <c r="H175" s="420"/>
      <c r="I175" s="420"/>
      <c r="J175" s="420"/>
      <c r="K175" s="421"/>
      <c r="L175" s="416"/>
      <c r="M175" s="416"/>
      <c r="N175" s="416"/>
      <c r="O175" s="417"/>
    </row>
    <row r="176" spans="1:17" s="409" customFormat="1" ht="24" customHeight="1">
      <c r="B176" s="112"/>
      <c r="C176" s="564"/>
      <c r="D176" s="112"/>
      <c r="E176" s="112"/>
      <c r="F176" s="418"/>
      <c r="G176" s="419"/>
      <c r="H176" s="420"/>
      <c r="I176" s="420"/>
      <c r="J176" s="420"/>
      <c r="K176" s="421"/>
      <c r="L176" s="416"/>
      <c r="M176" s="416"/>
      <c r="N176" s="416"/>
      <c r="O176" s="417"/>
    </row>
    <row r="177" spans="1:23" s="409" customFormat="1" ht="24" customHeight="1">
      <c r="B177" s="112"/>
      <c r="C177" s="564"/>
      <c r="D177" s="112"/>
      <c r="E177" s="112"/>
      <c r="F177" s="418"/>
      <c r="G177" s="419"/>
      <c r="H177" s="420"/>
      <c r="I177" s="420"/>
      <c r="J177" s="420"/>
      <c r="K177" s="421"/>
      <c r="L177" s="416"/>
      <c r="M177" s="416"/>
      <c r="N177" s="416"/>
      <c r="O177" s="417"/>
    </row>
    <row r="178" spans="1:23" s="409" customFormat="1" ht="24" customHeight="1">
      <c r="B178" s="112"/>
      <c r="C178" s="564"/>
      <c r="D178" s="112"/>
      <c r="E178" s="112"/>
      <c r="F178" s="418"/>
      <c r="G178" s="419"/>
      <c r="H178" s="420"/>
      <c r="I178" s="420"/>
      <c r="J178" s="420"/>
      <c r="K178" s="421"/>
      <c r="L178" s="416"/>
      <c r="M178" s="416"/>
      <c r="N178" s="416"/>
      <c r="O178" s="417"/>
    </row>
    <row r="179" spans="1:23" s="409" customFormat="1" ht="24" customHeight="1">
      <c r="B179" s="112"/>
      <c r="C179" s="564"/>
      <c r="D179" s="112"/>
      <c r="E179" s="112"/>
      <c r="F179" s="418"/>
      <c r="G179" s="419"/>
      <c r="H179" s="420"/>
      <c r="I179" s="420"/>
      <c r="J179" s="420"/>
      <c r="K179" s="421"/>
      <c r="L179" s="416"/>
      <c r="M179" s="416"/>
      <c r="N179" s="416"/>
      <c r="O179" s="417"/>
    </row>
    <row r="180" spans="1:23" s="422" customFormat="1" ht="24" customHeight="1">
      <c r="A180" s="409"/>
      <c r="B180" s="112"/>
      <c r="C180" s="564"/>
      <c r="D180" s="112"/>
      <c r="E180" s="112"/>
      <c r="F180" s="418"/>
      <c r="G180" s="419"/>
      <c r="H180" s="420"/>
      <c r="I180" s="420"/>
      <c r="J180" s="420"/>
      <c r="K180" s="421"/>
      <c r="L180" s="416"/>
      <c r="M180" s="416"/>
      <c r="N180" s="416"/>
      <c r="O180" s="417"/>
      <c r="P180" s="409"/>
      <c r="Q180" s="409"/>
      <c r="R180" s="409"/>
      <c r="S180" s="409"/>
      <c r="T180" s="409"/>
      <c r="U180" s="409"/>
      <c r="V180" s="409"/>
      <c r="W180" s="409"/>
    </row>
    <row r="181" spans="1:23" s="409" customFormat="1" ht="24" customHeight="1">
      <c r="B181" s="112"/>
      <c r="C181" s="564"/>
      <c r="D181" s="112"/>
      <c r="E181" s="112"/>
      <c r="F181" s="418"/>
      <c r="G181" s="419"/>
      <c r="H181" s="420"/>
      <c r="I181" s="420"/>
      <c r="J181" s="420"/>
      <c r="K181" s="421"/>
      <c r="L181" s="416"/>
      <c r="M181" s="416"/>
      <c r="N181" s="416"/>
      <c r="O181" s="417"/>
    </row>
    <row r="182" spans="1:23" s="409" customFormat="1" ht="24" customHeight="1">
      <c r="B182" s="112"/>
      <c r="C182" s="564"/>
      <c r="D182" s="112"/>
      <c r="E182" s="112"/>
      <c r="F182" s="418"/>
      <c r="G182" s="419"/>
      <c r="H182" s="420"/>
      <c r="I182" s="420"/>
      <c r="J182" s="420"/>
      <c r="K182" s="421"/>
      <c r="L182" s="416"/>
      <c r="M182" s="416"/>
      <c r="N182" s="416"/>
      <c r="O182" s="417"/>
    </row>
    <row r="183" spans="1:23" s="409" customFormat="1" ht="24" customHeight="1">
      <c r="B183" s="112"/>
      <c r="C183" s="564"/>
      <c r="D183" s="112"/>
      <c r="E183" s="112"/>
      <c r="F183" s="418"/>
      <c r="G183" s="419"/>
      <c r="H183" s="420"/>
      <c r="I183" s="420"/>
      <c r="J183" s="420"/>
      <c r="K183" s="421"/>
      <c r="L183" s="416"/>
      <c r="M183" s="416"/>
      <c r="N183" s="416"/>
      <c r="O183" s="417"/>
    </row>
    <row r="184" spans="1:23" s="409" customFormat="1" ht="24" customHeight="1">
      <c r="B184" s="112"/>
      <c r="C184" s="564"/>
      <c r="D184" s="112"/>
      <c r="E184" s="112"/>
      <c r="F184" s="418"/>
      <c r="G184" s="419"/>
      <c r="H184" s="420"/>
      <c r="I184" s="420"/>
      <c r="J184" s="420"/>
      <c r="K184" s="421"/>
      <c r="L184" s="416"/>
      <c r="M184" s="416"/>
      <c r="N184" s="416"/>
      <c r="O184" s="417"/>
    </row>
    <row r="185" spans="1:23" s="409" customFormat="1" ht="24" customHeight="1">
      <c r="B185" s="112"/>
      <c r="C185" s="564"/>
      <c r="D185" s="112"/>
      <c r="E185" s="112"/>
      <c r="F185" s="418"/>
      <c r="G185" s="419"/>
      <c r="H185" s="420"/>
      <c r="I185" s="420"/>
      <c r="J185" s="420"/>
      <c r="K185" s="421"/>
      <c r="L185" s="416"/>
      <c r="M185" s="416"/>
      <c r="N185" s="416"/>
      <c r="O185" s="417"/>
    </row>
    <row r="186" spans="1:23" s="409" customFormat="1" ht="24" customHeight="1">
      <c r="B186" s="112"/>
      <c r="C186" s="564"/>
      <c r="D186" s="112"/>
      <c r="E186" s="112"/>
      <c r="F186" s="418"/>
      <c r="G186" s="419"/>
      <c r="H186" s="420"/>
      <c r="I186" s="420"/>
      <c r="J186" s="420"/>
      <c r="K186" s="421"/>
      <c r="L186" s="416"/>
      <c r="M186" s="416"/>
      <c r="N186" s="416"/>
      <c r="O186" s="417"/>
    </row>
    <row r="187" spans="1:23" s="409" customFormat="1" ht="24" customHeight="1">
      <c r="B187" s="112"/>
      <c r="C187" s="564"/>
      <c r="D187" s="112"/>
      <c r="E187" s="112"/>
      <c r="F187" s="418"/>
      <c r="G187" s="419"/>
      <c r="H187" s="420"/>
      <c r="I187" s="420"/>
      <c r="J187" s="420"/>
      <c r="K187" s="421"/>
      <c r="L187" s="416"/>
      <c r="M187" s="416"/>
      <c r="N187" s="416"/>
      <c r="O187" s="417"/>
    </row>
    <row r="188" spans="1:23" s="409" customFormat="1" ht="24" customHeight="1">
      <c r="B188" s="112"/>
      <c r="C188" s="564"/>
      <c r="D188" s="112"/>
      <c r="E188" s="112"/>
      <c r="F188" s="418"/>
      <c r="G188" s="419"/>
      <c r="H188" s="420"/>
      <c r="I188" s="420"/>
      <c r="J188" s="420"/>
      <c r="K188" s="421"/>
      <c r="L188" s="416"/>
      <c r="M188" s="416"/>
      <c r="N188" s="416"/>
      <c r="O188" s="417"/>
    </row>
    <row r="189" spans="1:23" s="409" customFormat="1" ht="24" customHeight="1">
      <c r="B189" s="112"/>
      <c r="C189" s="564"/>
      <c r="D189" s="112"/>
      <c r="E189" s="112"/>
      <c r="F189" s="418"/>
      <c r="G189" s="419"/>
      <c r="H189" s="420"/>
      <c r="I189" s="420"/>
      <c r="J189" s="420"/>
      <c r="K189" s="421"/>
      <c r="L189" s="416"/>
      <c r="M189" s="416"/>
      <c r="N189" s="416"/>
      <c r="O189" s="417"/>
    </row>
    <row r="190" spans="1:23" s="409" customFormat="1" ht="24" customHeight="1">
      <c r="B190" s="112"/>
      <c r="C190" s="564"/>
      <c r="D190" s="112"/>
      <c r="E190" s="112"/>
      <c r="F190" s="418"/>
      <c r="G190" s="419"/>
      <c r="H190" s="420"/>
      <c r="I190" s="420"/>
      <c r="J190" s="420"/>
      <c r="K190" s="421"/>
      <c r="L190" s="416"/>
      <c r="M190" s="416"/>
      <c r="N190" s="416"/>
      <c r="O190" s="417"/>
    </row>
    <row r="191" spans="1:23" s="409" customFormat="1" ht="24" customHeight="1">
      <c r="B191" s="112"/>
      <c r="C191" s="564"/>
      <c r="D191" s="112"/>
      <c r="E191" s="112"/>
      <c r="F191" s="418"/>
      <c r="G191" s="419"/>
      <c r="H191" s="420"/>
      <c r="I191" s="420"/>
      <c r="J191" s="420"/>
      <c r="K191" s="421"/>
      <c r="L191" s="416"/>
      <c r="M191" s="416"/>
      <c r="N191" s="416"/>
      <c r="O191" s="417"/>
    </row>
    <row r="192" spans="1:23" s="409" customFormat="1" ht="24" customHeight="1">
      <c r="B192" s="112"/>
      <c r="C192" s="564"/>
      <c r="D192" s="112"/>
      <c r="E192" s="112"/>
      <c r="F192" s="418"/>
      <c r="G192" s="419"/>
      <c r="H192" s="420"/>
      <c r="I192" s="420"/>
      <c r="J192" s="420"/>
      <c r="K192" s="421"/>
      <c r="L192" s="416"/>
      <c r="M192" s="416"/>
      <c r="N192" s="416"/>
      <c r="O192" s="417"/>
    </row>
    <row r="193" spans="2:15" s="409" customFormat="1" ht="24" customHeight="1">
      <c r="B193" s="112"/>
      <c r="C193" s="564"/>
      <c r="D193" s="112"/>
      <c r="E193" s="112"/>
      <c r="F193" s="418"/>
      <c r="G193" s="419"/>
      <c r="H193" s="420"/>
      <c r="I193" s="420"/>
      <c r="J193" s="420"/>
      <c r="K193" s="421"/>
      <c r="L193" s="416"/>
      <c r="M193" s="416"/>
      <c r="N193" s="416"/>
      <c r="O193" s="417"/>
    </row>
    <row r="194" spans="2:15" s="409" customFormat="1" ht="24" customHeight="1">
      <c r="B194" s="112"/>
      <c r="C194" s="564"/>
      <c r="D194" s="112"/>
      <c r="E194" s="112"/>
      <c r="F194" s="418"/>
      <c r="G194" s="419"/>
      <c r="H194" s="420"/>
      <c r="I194" s="420"/>
      <c r="J194" s="420"/>
      <c r="K194" s="421"/>
      <c r="L194" s="416"/>
      <c r="M194" s="416"/>
      <c r="N194" s="416"/>
      <c r="O194" s="417"/>
    </row>
    <row r="195" spans="2:15" s="409" customFormat="1" ht="25.5" customHeight="1">
      <c r="B195" s="112"/>
      <c r="C195" s="564"/>
      <c r="D195" s="112"/>
      <c r="E195" s="112"/>
      <c r="F195" s="418"/>
      <c r="G195" s="419"/>
      <c r="H195" s="420"/>
      <c r="I195" s="420"/>
      <c r="J195" s="420"/>
      <c r="K195" s="421"/>
      <c r="L195" s="416"/>
      <c r="M195" s="416"/>
      <c r="N195" s="416"/>
      <c r="O195" s="417"/>
    </row>
    <row r="196" spans="2:15" s="409" customFormat="1" ht="25.5" customHeight="1">
      <c r="B196" s="112"/>
      <c r="C196" s="564"/>
      <c r="D196" s="112"/>
      <c r="E196" s="112"/>
      <c r="F196" s="418"/>
      <c r="G196" s="419"/>
      <c r="H196" s="420"/>
      <c r="I196" s="420"/>
      <c r="J196" s="420"/>
      <c r="K196" s="421"/>
      <c r="L196" s="416"/>
      <c r="M196" s="416"/>
      <c r="N196" s="416"/>
      <c r="O196" s="417"/>
    </row>
    <row r="197" spans="2:15" s="409" customFormat="1" ht="25.5" customHeight="1">
      <c r="B197" s="112"/>
      <c r="C197" s="564"/>
      <c r="D197" s="112"/>
      <c r="E197" s="112"/>
      <c r="F197" s="418"/>
      <c r="G197" s="419"/>
      <c r="H197" s="420"/>
      <c r="I197" s="420"/>
      <c r="J197" s="420"/>
      <c r="K197" s="421"/>
      <c r="L197" s="416"/>
      <c r="M197" s="416"/>
      <c r="N197" s="416"/>
      <c r="O197" s="417"/>
    </row>
    <row r="198" spans="2:15" s="409" customFormat="1" ht="25.5" customHeight="1">
      <c r="B198" s="112"/>
      <c r="C198" s="564"/>
      <c r="D198" s="112"/>
      <c r="E198" s="112"/>
      <c r="F198" s="418"/>
      <c r="G198" s="419"/>
      <c r="H198" s="420"/>
      <c r="I198" s="420"/>
      <c r="J198" s="420"/>
      <c r="K198" s="421"/>
      <c r="L198" s="416"/>
      <c r="M198" s="416"/>
      <c r="N198" s="416"/>
      <c r="O198" s="417"/>
    </row>
    <row r="199" spans="2:15" s="409" customFormat="1" ht="25.5" customHeight="1">
      <c r="B199" s="112"/>
      <c r="C199" s="564"/>
      <c r="D199" s="112"/>
      <c r="E199" s="112"/>
      <c r="F199" s="418"/>
      <c r="G199" s="419"/>
      <c r="H199" s="420"/>
      <c r="I199" s="420"/>
      <c r="J199" s="420"/>
      <c r="K199" s="421"/>
      <c r="L199" s="416"/>
      <c r="M199" s="416"/>
      <c r="N199" s="416"/>
      <c r="O199" s="417"/>
    </row>
    <row r="200" spans="2:15" s="409" customFormat="1" ht="25.5" customHeight="1">
      <c r="B200" s="118"/>
      <c r="C200" s="116"/>
      <c r="D200" s="116"/>
      <c r="E200" s="116"/>
      <c r="K200" s="423"/>
      <c r="M200" s="424"/>
      <c r="O200" s="417"/>
    </row>
    <row r="201" spans="2:15" s="409" customFormat="1" ht="25.5" customHeight="1">
      <c r="B201" s="118"/>
      <c r="C201" s="116"/>
      <c r="D201" s="116"/>
      <c r="E201" s="116"/>
      <c r="K201" s="423"/>
      <c r="M201" s="424"/>
      <c r="O201" s="417"/>
    </row>
    <row r="202" spans="2:15" s="409" customFormat="1" ht="25.5" customHeight="1">
      <c r="B202" s="118"/>
      <c r="C202" s="116"/>
      <c r="D202" s="116"/>
      <c r="E202" s="116"/>
      <c r="K202" s="423"/>
      <c r="M202" s="424"/>
      <c r="O202" s="417"/>
    </row>
    <row r="203" spans="2:15" s="409" customFormat="1" ht="25.5" customHeight="1">
      <c r="B203" s="118"/>
      <c r="C203" s="116"/>
      <c r="D203" s="116"/>
      <c r="E203" s="116"/>
      <c r="K203" s="423"/>
      <c r="M203" s="424"/>
      <c r="O203" s="417"/>
    </row>
    <row r="204" spans="2:15" s="409" customFormat="1" ht="25.5" customHeight="1">
      <c r="B204" s="118"/>
      <c r="C204" s="116"/>
      <c r="D204" s="116"/>
      <c r="E204" s="116"/>
      <c r="K204" s="423"/>
      <c r="M204" s="424"/>
      <c r="O204" s="417"/>
    </row>
    <row r="205" spans="2:15" s="409" customFormat="1" ht="25.5" customHeight="1">
      <c r="B205" s="118"/>
      <c r="C205" s="116"/>
      <c r="D205" s="116"/>
      <c r="E205" s="116"/>
      <c r="K205" s="423"/>
      <c r="M205" s="424"/>
      <c r="O205" s="417"/>
    </row>
    <row r="206" spans="2:15" s="409" customFormat="1" ht="25.5" customHeight="1">
      <c r="B206" s="118"/>
      <c r="C206" s="116"/>
      <c r="D206" s="116"/>
      <c r="E206" s="116"/>
      <c r="K206" s="423"/>
      <c r="M206" s="424"/>
      <c r="O206" s="417"/>
    </row>
    <row r="207" spans="2:15" s="409" customFormat="1" ht="25.5" customHeight="1">
      <c r="B207" s="118"/>
      <c r="C207" s="116"/>
      <c r="D207" s="116"/>
      <c r="E207" s="116"/>
      <c r="K207" s="423"/>
      <c r="M207" s="424"/>
      <c r="O207" s="417"/>
    </row>
    <row r="208" spans="2:15" s="409" customFormat="1" ht="25.5" customHeight="1">
      <c r="B208" s="118"/>
      <c r="C208" s="116"/>
      <c r="D208" s="116"/>
      <c r="E208" s="116"/>
      <c r="K208" s="423"/>
      <c r="M208" s="424"/>
      <c r="O208" s="417"/>
    </row>
    <row r="209" spans="2:15" s="409" customFormat="1" ht="25.5" customHeight="1">
      <c r="B209" s="118"/>
      <c r="C209" s="116"/>
      <c r="D209" s="116"/>
      <c r="E209" s="116"/>
      <c r="K209" s="423"/>
      <c r="M209" s="424"/>
      <c r="O209" s="417"/>
    </row>
    <row r="210" spans="2:15" s="409" customFormat="1" ht="25.5" customHeight="1">
      <c r="B210" s="118"/>
      <c r="C210" s="116"/>
      <c r="D210" s="116"/>
      <c r="E210" s="116"/>
      <c r="K210" s="423"/>
      <c r="M210" s="424"/>
      <c r="O210" s="417"/>
    </row>
    <row r="211" spans="2:15" s="409" customFormat="1" ht="25.5" customHeight="1">
      <c r="B211" s="118"/>
      <c r="C211" s="116"/>
      <c r="D211" s="116"/>
      <c r="E211" s="116"/>
      <c r="K211" s="423"/>
      <c r="M211" s="424"/>
      <c r="O211" s="417"/>
    </row>
    <row r="212" spans="2:15" s="409" customFormat="1" ht="25.5" customHeight="1">
      <c r="B212" s="118"/>
      <c r="C212" s="116"/>
      <c r="D212" s="116"/>
      <c r="E212" s="116"/>
      <c r="K212" s="423"/>
      <c r="M212" s="424"/>
      <c r="O212" s="417"/>
    </row>
    <row r="213" spans="2:15" s="409" customFormat="1" ht="25.5" customHeight="1">
      <c r="B213" s="118"/>
      <c r="C213" s="116"/>
      <c r="D213" s="116"/>
      <c r="E213" s="116"/>
      <c r="K213" s="423"/>
      <c r="M213" s="424"/>
      <c r="O213" s="417"/>
    </row>
    <row r="214" spans="2:15" s="409" customFormat="1" ht="25.5" customHeight="1">
      <c r="B214" s="118"/>
      <c r="C214" s="116"/>
      <c r="D214" s="116"/>
      <c r="E214" s="116"/>
      <c r="K214" s="423"/>
      <c r="M214" s="424"/>
      <c r="O214" s="417"/>
    </row>
    <row r="215" spans="2:15" s="409" customFormat="1" ht="25.5" customHeight="1">
      <c r="B215" s="118"/>
      <c r="C215" s="116"/>
      <c r="D215" s="116"/>
      <c r="E215" s="116"/>
      <c r="K215" s="423"/>
      <c r="M215" s="424"/>
      <c r="O215" s="417"/>
    </row>
    <row r="216" spans="2:15" s="409" customFormat="1" ht="25.5" customHeight="1">
      <c r="B216" s="118"/>
      <c r="C216" s="116"/>
      <c r="D216" s="116"/>
      <c r="E216" s="116"/>
      <c r="K216" s="423"/>
      <c r="M216" s="424"/>
      <c r="O216" s="417"/>
    </row>
    <row r="217" spans="2:15" s="409" customFormat="1" ht="25.5" customHeight="1">
      <c r="B217" s="118"/>
      <c r="C217" s="116"/>
      <c r="D217" s="116"/>
      <c r="E217" s="116"/>
      <c r="K217" s="423"/>
      <c r="M217" s="424"/>
      <c r="O217" s="417"/>
    </row>
    <row r="218" spans="2:15" s="409" customFormat="1" ht="25.5" customHeight="1">
      <c r="B218" s="118"/>
      <c r="C218" s="116"/>
      <c r="D218" s="116"/>
      <c r="E218" s="116"/>
      <c r="K218" s="423"/>
      <c r="M218" s="424"/>
      <c r="O218" s="417"/>
    </row>
    <row r="219" spans="2:15" s="409" customFormat="1" ht="25.5" customHeight="1">
      <c r="B219" s="118"/>
      <c r="C219" s="116"/>
      <c r="D219" s="116"/>
      <c r="E219" s="116"/>
      <c r="K219" s="423"/>
      <c r="M219" s="424"/>
      <c r="O219" s="417"/>
    </row>
    <row r="220" spans="2:15" s="409" customFormat="1" ht="25.5" customHeight="1">
      <c r="B220" s="118"/>
      <c r="C220" s="116"/>
      <c r="D220" s="116"/>
      <c r="E220" s="116"/>
      <c r="K220" s="423"/>
      <c r="M220" s="424"/>
      <c r="O220" s="417"/>
    </row>
    <row r="221" spans="2:15" s="409" customFormat="1" ht="25.5" customHeight="1">
      <c r="B221" s="118"/>
      <c r="C221" s="116"/>
      <c r="D221" s="116"/>
      <c r="E221" s="116"/>
      <c r="K221" s="423"/>
      <c r="M221" s="424"/>
      <c r="O221" s="417"/>
    </row>
    <row r="222" spans="2:15" s="409" customFormat="1" ht="25.5" customHeight="1">
      <c r="B222" s="118"/>
      <c r="C222" s="116"/>
      <c r="D222" s="116"/>
      <c r="E222" s="116"/>
      <c r="K222" s="423"/>
      <c r="M222" s="424"/>
      <c r="O222" s="417"/>
    </row>
    <row r="223" spans="2:15" s="409" customFormat="1" ht="25.5" customHeight="1">
      <c r="B223" s="118"/>
      <c r="C223" s="116"/>
      <c r="D223" s="116"/>
      <c r="E223" s="116"/>
      <c r="K223" s="423"/>
      <c r="M223" s="424"/>
      <c r="O223" s="417"/>
    </row>
    <row r="224" spans="2:15" s="409" customFormat="1" ht="25.5" customHeight="1">
      <c r="B224" s="118"/>
      <c r="C224" s="116"/>
      <c r="D224" s="116"/>
      <c r="E224" s="116"/>
      <c r="K224" s="423"/>
      <c r="M224" s="424"/>
      <c r="O224" s="417"/>
    </row>
    <row r="225" spans="2:15" s="409" customFormat="1" ht="25.5" customHeight="1">
      <c r="B225" s="118"/>
      <c r="C225" s="116"/>
      <c r="D225" s="116"/>
      <c r="E225" s="116"/>
      <c r="K225" s="423"/>
      <c r="M225" s="424"/>
      <c r="O225" s="417"/>
    </row>
    <row r="226" spans="2:15" s="409" customFormat="1" ht="25.5" customHeight="1">
      <c r="B226" s="118"/>
      <c r="C226" s="116"/>
      <c r="D226" s="116"/>
      <c r="E226" s="116"/>
      <c r="K226" s="423"/>
      <c r="M226" s="424"/>
      <c r="O226" s="417"/>
    </row>
    <row r="227" spans="2:15" s="409" customFormat="1" ht="25.5" customHeight="1">
      <c r="B227" s="118"/>
      <c r="C227" s="116"/>
      <c r="D227" s="116"/>
      <c r="E227" s="116"/>
      <c r="K227" s="423"/>
      <c r="M227" s="424"/>
      <c r="O227" s="417"/>
    </row>
    <row r="228" spans="2:15" s="409" customFormat="1" ht="25.5" customHeight="1">
      <c r="B228" s="118"/>
      <c r="C228" s="116"/>
      <c r="D228" s="116"/>
      <c r="E228" s="116"/>
      <c r="K228" s="423"/>
      <c r="M228" s="424"/>
      <c r="O228" s="417"/>
    </row>
    <row r="229" spans="2:15" s="409" customFormat="1" ht="25.5" customHeight="1">
      <c r="B229" s="118"/>
      <c r="C229" s="116"/>
      <c r="D229" s="116"/>
      <c r="E229" s="116"/>
      <c r="K229" s="423"/>
      <c r="M229" s="424"/>
      <c r="O229" s="417"/>
    </row>
    <row r="230" spans="2:15" s="409" customFormat="1" ht="25.5" customHeight="1">
      <c r="B230" s="118"/>
      <c r="C230" s="116"/>
      <c r="D230" s="116"/>
      <c r="E230" s="116"/>
      <c r="K230" s="423"/>
      <c r="M230" s="424"/>
      <c r="O230" s="417"/>
    </row>
    <row r="231" spans="2:15" s="409" customFormat="1" ht="25.5" customHeight="1">
      <c r="B231" s="118"/>
      <c r="C231" s="116"/>
      <c r="D231" s="116"/>
      <c r="E231" s="116"/>
      <c r="K231" s="423"/>
      <c r="M231" s="424"/>
      <c r="O231" s="417"/>
    </row>
    <row r="232" spans="2:15" s="409" customFormat="1" ht="25.5" customHeight="1">
      <c r="B232" s="118"/>
      <c r="C232" s="116"/>
      <c r="D232" s="116"/>
      <c r="E232" s="116"/>
      <c r="K232" s="423"/>
      <c r="M232" s="424"/>
      <c r="O232" s="417"/>
    </row>
    <row r="233" spans="2:15" s="409" customFormat="1" ht="25.5" customHeight="1">
      <c r="B233" s="118"/>
      <c r="C233" s="116"/>
      <c r="D233" s="116"/>
      <c r="E233" s="116"/>
      <c r="K233" s="423"/>
      <c r="M233" s="424"/>
      <c r="O233" s="417"/>
    </row>
    <row r="234" spans="2:15" s="409" customFormat="1" ht="25.5" customHeight="1">
      <c r="B234" s="118"/>
      <c r="C234" s="116"/>
      <c r="D234" s="116"/>
      <c r="E234" s="116"/>
      <c r="K234" s="423"/>
      <c r="M234" s="424"/>
      <c r="O234" s="417"/>
    </row>
    <row r="235" spans="2:15" s="409" customFormat="1" ht="25.5" customHeight="1">
      <c r="B235" s="118"/>
      <c r="C235" s="116"/>
      <c r="D235" s="116"/>
      <c r="E235" s="116"/>
      <c r="K235" s="423"/>
      <c r="M235" s="424"/>
      <c r="O235" s="417"/>
    </row>
    <row r="236" spans="2:15" s="409" customFormat="1" ht="25.5" customHeight="1">
      <c r="B236" s="118"/>
      <c r="C236" s="116"/>
      <c r="D236" s="116"/>
      <c r="E236" s="116"/>
      <c r="K236" s="423"/>
      <c r="M236" s="424"/>
      <c r="O236" s="417"/>
    </row>
    <row r="237" spans="2:15" s="409" customFormat="1" ht="25.5" customHeight="1">
      <c r="B237" s="118"/>
      <c r="C237" s="116"/>
      <c r="D237" s="116"/>
      <c r="E237" s="116"/>
      <c r="K237" s="423"/>
      <c r="M237" s="424"/>
      <c r="O237" s="417"/>
    </row>
    <row r="238" spans="2:15" s="409" customFormat="1" ht="25.5" customHeight="1">
      <c r="B238" s="118"/>
      <c r="C238" s="116"/>
      <c r="D238" s="116"/>
      <c r="E238" s="116"/>
      <c r="K238" s="423"/>
      <c r="M238" s="424"/>
      <c r="O238" s="417"/>
    </row>
    <row r="239" spans="2:15" s="409" customFormat="1" ht="25.5" customHeight="1">
      <c r="B239" s="118"/>
      <c r="C239" s="116"/>
      <c r="D239" s="116"/>
      <c r="E239" s="116"/>
      <c r="K239" s="423"/>
      <c r="M239" s="424"/>
      <c r="O239" s="417"/>
    </row>
    <row r="240" spans="2:15" s="409" customFormat="1" ht="25.5" customHeight="1">
      <c r="B240" s="118"/>
      <c r="C240" s="116"/>
      <c r="D240" s="116"/>
      <c r="E240" s="116"/>
      <c r="K240" s="423"/>
      <c r="M240" s="424"/>
      <c r="O240" s="417"/>
    </row>
    <row r="241" spans="2:15" s="409" customFormat="1" ht="25.5" customHeight="1">
      <c r="B241" s="118"/>
      <c r="C241" s="116"/>
      <c r="D241" s="116"/>
      <c r="E241" s="116"/>
      <c r="K241" s="423"/>
      <c r="M241" s="424"/>
      <c r="O241" s="417"/>
    </row>
    <row r="242" spans="2:15" s="409" customFormat="1" ht="25.5" customHeight="1">
      <c r="B242" s="118"/>
      <c r="C242" s="116"/>
      <c r="D242" s="116"/>
      <c r="E242" s="116"/>
      <c r="K242" s="423"/>
      <c r="M242" s="424"/>
      <c r="O242" s="417"/>
    </row>
    <row r="243" spans="2:15" s="409" customFormat="1" ht="25.5" customHeight="1">
      <c r="B243" s="118"/>
      <c r="C243" s="116"/>
      <c r="D243" s="116"/>
      <c r="E243" s="116"/>
      <c r="K243" s="423"/>
      <c r="M243" s="424"/>
      <c r="O243" s="417"/>
    </row>
    <row r="244" spans="2:15" s="409" customFormat="1" ht="25.5" customHeight="1">
      <c r="B244" s="118"/>
      <c r="C244" s="116"/>
      <c r="D244" s="116"/>
      <c r="E244" s="116"/>
      <c r="K244" s="423"/>
      <c r="M244" s="424"/>
      <c r="O244" s="417"/>
    </row>
    <row r="245" spans="2:15" s="409" customFormat="1" ht="25.5" customHeight="1">
      <c r="B245" s="118"/>
      <c r="C245" s="116"/>
      <c r="D245" s="116"/>
      <c r="E245" s="116"/>
      <c r="K245" s="423"/>
      <c r="M245" s="424"/>
      <c r="O245" s="417"/>
    </row>
    <row r="246" spans="2:15" s="409" customFormat="1" ht="25.5" customHeight="1">
      <c r="B246" s="118"/>
      <c r="C246" s="116"/>
      <c r="D246" s="116"/>
      <c r="E246" s="116"/>
      <c r="K246" s="423"/>
      <c r="M246" s="424"/>
      <c r="O246" s="417"/>
    </row>
    <row r="247" spans="2:15" s="409" customFormat="1" ht="25.5" customHeight="1">
      <c r="B247" s="118"/>
      <c r="C247" s="116"/>
      <c r="D247" s="116"/>
      <c r="E247" s="116"/>
      <c r="K247" s="423"/>
      <c r="M247" s="424"/>
      <c r="O247" s="417"/>
    </row>
    <row r="248" spans="2:15" s="409" customFormat="1" ht="25.5" customHeight="1">
      <c r="B248" s="115"/>
      <c r="C248" s="117"/>
      <c r="D248" s="117"/>
      <c r="E248" s="117"/>
      <c r="F248" s="417"/>
      <c r="G248" s="417"/>
      <c r="H248" s="417"/>
      <c r="I248" s="417"/>
      <c r="J248" s="417"/>
      <c r="K248" s="421"/>
      <c r="L248" s="417"/>
      <c r="M248" s="425"/>
      <c r="O248" s="417"/>
    </row>
    <row r="249" spans="2:15" s="409" customFormat="1" ht="25.5" customHeight="1">
      <c r="B249" s="118"/>
      <c r="C249" s="116"/>
      <c r="D249" s="116"/>
      <c r="E249" s="116"/>
      <c r="K249" s="423"/>
      <c r="M249" s="424"/>
      <c r="O249" s="417"/>
    </row>
    <row r="250" spans="2:15" s="409" customFormat="1" ht="25.5" customHeight="1">
      <c r="B250" s="118"/>
      <c r="C250" s="116"/>
      <c r="D250" s="116"/>
      <c r="E250" s="116"/>
      <c r="K250" s="423"/>
      <c r="M250" s="424"/>
      <c r="O250" s="417"/>
    </row>
    <row r="251" spans="2:15" s="168" customFormat="1" ht="25.5" customHeight="1">
      <c r="B251" s="119"/>
      <c r="C251" s="1"/>
      <c r="D251" s="1"/>
      <c r="E251" s="1"/>
      <c r="K251" s="203"/>
      <c r="M251" s="349"/>
      <c r="O251" s="426"/>
    </row>
    <row r="252" spans="2:15" s="168" customFormat="1" ht="25.5" customHeight="1">
      <c r="B252" s="119"/>
      <c r="C252" s="1"/>
      <c r="D252" s="1"/>
      <c r="E252" s="1"/>
      <c r="K252" s="203"/>
      <c r="M252" s="349"/>
      <c r="O252" s="426"/>
    </row>
    <row r="253" spans="2:15" s="168" customFormat="1" ht="25.5" customHeight="1">
      <c r="B253" s="119"/>
      <c r="C253" s="1"/>
      <c r="D253" s="1"/>
      <c r="E253" s="1"/>
      <c r="K253" s="203"/>
      <c r="M253" s="349"/>
      <c r="O253" s="426"/>
    </row>
    <row r="254" spans="2:15" s="168" customFormat="1" ht="25.5" customHeight="1">
      <c r="B254" s="119"/>
      <c r="C254" s="1"/>
      <c r="D254" s="1"/>
      <c r="E254" s="1"/>
      <c r="K254" s="203"/>
      <c r="M254" s="349"/>
      <c r="O254" s="426"/>
    </row>
    <row r="255" spans="2:15" s="168" customFormat="1" ht="25.5" customHeight="1">
      <c r="B255" s="119"/>
      <c r="C255" s="1"/>
      <c r="D255" s="1"/>
      <c r="E255" s="1"/>
      <c r="K255" s="203"/>
      <c r="M255" s="349"/>
      <c r="O255" s="426"/>
    </row>
    <row r="256" spans="2:15" s="168" customFormat="1" ht="25.5" customHeight="1">
      <c r="B256" s="119"/>
      <c r="C256" s="1"/>
      <c r="D256" s="1"/>
      <c r="E256" s="1"/>
      <c r="K256" s="203"/>
      <c r="M256" s="349"/>
      <c r="O256" s="426"/>
    </row>
    <row r="257" spans="2:15" s="168" customFormat="1" ht="25.5" customHeight="1">
      <c r="B257" s="119"/>
      <c r="C257" s="1"/>
      <c r="D257" s="1"/>
      <c r="E257" s="1"/>
      <c r="K257" s="203"/>
      <c r="M257" s="349"/>
      <c r="O257" s="426"/>
    </row>
    <row r="258" spans="2:15" s="168" customFormat="1" ht="25.5" customHeight="1">
      <c r="B258" s="119"/>
      <c r="C258" s="1"/>
      <c r="D258" s="1"/>
      <c r="E258" s="1"/>
      <c r="K258" s="203"/>
      <c r="M258" s="349"/>
      <c r="O258" s="426"/>
    </row>
    <row r="259" spans="2:15" s="168" customFormat="1" ht="25.5" customHeight="1">
      <c r="B259" s="119"/>
      <c r="C259" s="1"/>
      <c r="D259" s="1"/>
      <c r="E259" s="1"/>
      <c r="K259" s="203"/>
      <c r="M259" s="349"/>
      <c r="O259" s="426"/>
    </row>
    <row r="260" spans="2:15" s="168" customFormat="1" ht="25.5" customHeight="1">
      <c r="B260" s="119"/>
      <c r="C260" s="1"/>
      <c r="D260" s="1"/>
      <c r="E260" s="1"/>
      <c r="K260" s="203"/>
      <c r="M260" s="349"/>
      <c r="O260" s="426"/>
    </row>
    <row r="261" spans="2:15" s="168" customFormat="1" ht="25.5" customHeight="1">
      <c r="B261" s="119"/>
      <c r="C261" s="1"/>
      <c r="D261" s="1"/>
      <c r="E261" s="1"/>
      <c r="K261" s="203"/>
      <c r="M261" s="349"/>
      <c r="O261" s="426"/>
    </row>
    <row r="262" spans="2:15" s="168" customFormat="1" ht="25.5" customHeight="1">
      <c r="B262" s="40"/>
      <c r="C262" s="43"/>
      <c r="D262" s="98"/>
      <c r="E262" s="1"/>
      <c r="K262" s="203"/>
      <c r="M262" s="349"/>
      <c r="O262" s="426"/>
    </row>
    <row r="263" spans="2:15" s="168" customFormat="1" ht="25.5" customHeight="1">
      <c r="B263" s="119"/>
      <c r="C263" s="1"/>
      <c r="D263" s="1"/>
      <c r="E263" s="1"/>
      <c r="K263" s="203"/>
      <c r="M263" s="349"/>
      <c r="O263" s="426"/>
    </row>
    <row r="264" spans="2:15" s="168" customFormat="1" ht="25.5" customHeight="1">
      <c r="B264" s="119"/>
      <c r="C264" s="1"/>
      <c r="D264" s="1"/>
      <c r="E264" s="1"/>
      <c r="K264" s="203"/>
      <c r="M264" s="349"/>
      <c r="O264" s="426"/>
    </row>
    <row r="265" spans="2:15" s="168" customFormat="1" ht="25.5" customHeight="1">
      <c r="B265" s="119"/>
      <c r="C265" s="1"/>
      <c r="D265" s="1"/>
      <c r="E265" s="1"/>
      <c r="K265" s="203"/>
      <c r="M265" s="349"/>
      <c r="O265" s="426"/>
    </row>
    <row r="266" spans="2:15" s="168" customFormat="1" ht="25.5" customHeight="1">
      <c r="B266" s="119"/>
      <c r="C266" s="1"/>
      <c r="D266" s="1"/>
      <c r="E266" s="1"/>
      <c r="K266" s="203"/>
      <c r="M266" s="349"/>
      <c r="O266" s="426"/>
    </row>
    <row r="267" spans="2:15" s="168" customFormat="1" ht="25.5" customHeight="1">
      <c r="B267" s="119"/>
      <c r="C267" s="1"/>
      <c r="D267" s="1"/>
      <c r="E267" s="1"/>
      <c r="K267" s="203"/>
      <c r="M267" s="349"/>
      <c r="O267" s="426"/>
    </row>
    <row r="268" spans="2:15" s="168" customFormat="1" ht="25.5" customHeight="1">
      <c r="B268" s="119"/>
      <c r="C268" s="1"/>
      <c r="D268" s="1"/>
      <c r="E268" s="1"/>
      <c r="K268" s="203"/>
      <c r="M268" s="349"/>
      <c r="O268" s="426"/>
    </row>
    <row r="269" spans="2:15" s="168" customFormat="1" ht="25.5" customHeight="1">
      <c r="B269" s="119"/>
      <c r="C269" s="1"/>
      <c r="D269" s="1"/>
      <c r="E269" s="1"/>
      <c r="K269" s="203"/>
      <c r="M269" s="349"/>
      <c r="O269" s="426"/>
    </row>
    <row r="270" spans="2:15" s="168" customFormat="1" ht="25.5" customHeight="1">
      <c r="B270" s="119"/>
      <c r="C270" s="1"/>
      <c r="D270" s="1"/>
      <c r="E270" s="1"/>
      <c r="K270" s="203"/>
      <c r="M270" s="349"/>
      <c r="O270" s="426"/>
    </row>
    <row r="271" spans="2:15" s="168" customFormat="1" ht="25.5" customHeight="1">
      <c r="B271" s="119"/>
      <c r="C271" s="1"/>
      <c r="D271" s="1"/>
      <c r="E271" s="1"/>
      <c r="K271" s="203"/>
      <c r="M271" s="349"/>
      <c r="O271" s="426"/>
    </row>
    <row r="272" spans="2:15" s="168" customFormat="1" ht="25.5" customHeight="1">
      <c r="B272" s="119"/>
      <c r="C272" s="1"/>
      <c r="D272" s="1"/>
      <c r="E272" s="1"/>
      <c r="K272" s="203"/>
      <c r="M272" s="349"/>
      <c r="O272" s="426"/>
    </row>
    <row r="273" spans="2:15" s="168" customFormat="1" ht="25.5" customHeight="1">
      <c r="B273" s="119"/>
      <c r="C273" s="1"/>
      <c r="D273" s="1"/>
      <c r="E273" s="1"/>
      <c r="K273" s="203"/>
      <c r="M273" s="349"/>
      <c r="O273" s="426"/>
    </row>
    <row r="274" spans="2:15" s="168" customFormat="1" ht="25.5" customHeight="1">
      <c r="B274" s="119"/>
      <c r="C274" s="1"/>
      <c r="D274" s="1"/>
      <c r="E274" s="1"/>
      <c r="K274" s="203"/>
      <c r="M274" s="349"/>
      <c r="O274" s="426"/>
    </row>
    <row r="275" spans="2:15" s="168" customFormat="1" ht="25.5" customHeight="1">
      <c r="B275" s="119"/>
      <c r="C275" s="1"/>
      <c r="D275" s="1"/>
      <c r="E275" s="1"/>
      <c r="K275" s="203"/>
      <c r="M275" s="349"/>
      <c r="O275" s="426"/>
    </row>
    <row r="276" spans="2:15" s="168" customFormat="1" ht="25.5" customHeight="1">
      <c r="B276" s="119"/>
      <c r="C276" s="1"/>
      <c r="D276" s="1"/>
      <c r="E276" s="1"/>
      <c r="K276" s="203"/>
      <c r="M276" s="349"/>
      <c r="O276" s="426"/>
    </row>
    <row r="277" spans="2:15" s="168" customFormat="1" ht="25.5" customHeight="1">
      <c r="B277" s="119"/>
      <c r="C277" s="1"/>
      <c r="D277" s="1"/>
      <c r="E277" s="1"/>
      <c r="K277" s="203"/>
      <c r="M277" s="349"/>
      <c r="O277" s="426"/>
    </row>
    <row r="278" spans="2:15" s="168" customFormat="1" ht="25.5" customHeight="1">
      <c r="B278" s="119"/>
      <c r="C278" s="1"/>
      <c r="D278" s="1"/>
      <c r="E278" s="1"/>
      <c r="K278" s="203"/>
      <c r="M278" s="349"/>
      <c r="O278" s="426"/>
    </row>
    <row r="279" spans="2:15" s="168" customFormat="1" ht="25.5" customHeight="1">
      <c r="B279" s="119"/>
      <c r="C279" s="1"/>
      <c r="D279" s="1"/>
      <c r="E279" s="1"/>
      <c r="K279" s="203"/>
      <c r="M279" s="349"/>
      <c r="O279" s="426"/>
    </row>
    <row r="280" spans="2:15" s="168" customFormat="1" ht="25.5" customHeight="1">
      <c r="B280" s="119"/>
      <c r="C280" s="1"/>
      <c r="D280" s="1"/>
      <c r="E280" s="1"/>
      <c r="K280" s="203"/>
      <c r="M280" s="349"/>
      <c r="O280" s="426"/>
    </row>
    <row r="281" spans="2:15" s="168" customFormat="1" ht="25.5" customHeight="1">
      <c r="B281" s="119"/>
      <c r="C281" s="1"/>
      <c r="D281" s="1"/>
      <c r="E281" s="1"/>
      <c r="K281" s="203"/>
      <c r="M281" s="349"/>
      <c r="O281" s="426"/>
    </row>
    <row r="282" spans="2:15" s="168" customFormat="1" ht="25.5" customHeight="1">
      <c r="B282" s="119"/>
      <c r="C282" s="1"/>
      <c r="D282" s="1"/>
      <c r="E282" s="1"/>
      <c r="K282" s="203"/>
      <c r="M282" s="349"/>
      <c r="O282" s="426"/>
    </row>
    <row r="283" spans="2:15" s="168" customFormat="1" ht="25.5" customHeight="1">
      <c r="B283" s="119"/>
      <c r="C283" s="1"/>
      <c r="D283" s="1"/>
      <c r="E283" s="1"/>
      <c r="K283" s="203"/>
      <c r="M283" s="349"/>
      <c r="O283" s="426"/>
    </row>
    <row r="284" spans="2:15" s="168" customFormat="1" ht="25.5" customHeight="1">
      <c r="B284" s="119"/>
      <c r="C284" s="1"/>
      <c r="D284" s="1"/>
      <c r="E284" s="1"/>
      <c r="K284" s="203"/>
      <c r="M284" s="349"/>
      <c r="O284" s="426"/>
    </row>
    <row r="285" spans="2:15" s="168" customFormat="1" ht="25.5" customHeight="1">
      <c r="B285" s="119"/>
      <c r="C285" s="1"/>
      <c r="D285" s="1"/>
      <c r="E285" s="1"/>
      <c r="K285" s="203"/>
      <c r="M285" s="349"/>
      <c r="O285" s="426"/>
    </row>
    <row r="286" spans="2:15" s="168" customFormat="1" ht="25.5" customHeight="1">
      <c r="B286" s="119"/>
      <c r="C286" s="1"/>
      <c r="D286" s="1"/>
      <c r="E286" s="1"/>
      <c r="K286" s="203"/>
      <c r="M286" s="349"/>
      <c r="O286" s="426"/>
    </row>
    <row r="287" spans="2:15" s="168" customFormat="1" ht="25.5" customHeight="1">
      <c r="B287" s="119"/>
      <c r="C287" s="1"/>
      <c r="D287" s="1"/>
      <c r="E287" s="1"/>
      <c r="K287" s="203"/>
      <c r="M287" s="349"/>
      <c r="O287" s="426"/>
    </row>
    <row r="288" spans="2:15" s="168" customFormat="1" ht="25.5" customHeight="1">
      <c r="B288" s="119"/>
      <c r="C288" s="1"/>
      <c r="D288" s="1"/>
      <c r="E288" s="1"/>
      <c r="K288" s="203"/>
      <c r="M288" s="349"/>
      <c r="O288" s="426"/>
    </row>
    <row r="289" spans="2:15" s="168" customFormat="1" ht="25.5" customHeight="1">
      <c r="B289" s="119"/>
      <c r="C289" s="1"/>
      <c r="D289" s="1"/>
      <c r="E289" s="1"/>
      <c r="K289" s="203"/>
      <c r="M289" s="349"/>
      <c r="O289" s="426"/>
    </row>
    <row r="290" spans="2:15" s="168" customFormat="1" ht="25.5" customHeight="1">
      <c r="B290" s="119"/>
      <c r="C290" s="1"/>
      <c r="D290" s="1"/>
      <c r="E290" s="1"/>
      <c r="K290" s="203"/>
      <c r="M290" s="349"/>
      <c r="O290" s="426"/>
    </row>
    <row r="291" spans="2:15" s="168" customFormat="1" ht="25.5" customHeight="1">
      <c r="B291" s="119"/>
      <c r="C291" s="1"/>
      <c r="D291" s="1"/>
      <c r="E291" s="1"/>
      <c r="K291" s="203"/>
      <c r="M291" s="349"/>
      <c r="O291" s="426"/>
    </row>
    <row r="292" spans="2:15" s="168" customFormat="1" ht="25.5" customHeight="1">
      <c r="B292" s="119"/>
      <c r="C292" s="1"/>
      <c r="D292" s="1"/>
      <c r="E292" s="1"/>
      <c r="K292" s="203"/>
      <c r="M292" s="349"/>
      <c r="O292" s="426"/>
    </row>
    <row r="293" spans="2:15" s="168" customFormat="1" ht="25.5" customHeight="1">
      <c r="B293" s="119"/>
      <c r="C293" s="1"/>
      <c r="D293" s="1"/>
      <c r="E293" s="1"/>
      <c r="K293" s="203"/>
      <c r="M293" s="349"/>
      <c r="O293" s="426"/>
    </row>
    <row r="294" spans="2:15" s="168" customFormat="1" ht="25.5" customHeight="1">
      <c r="B294" s="119"/>
      <c r="C294" s="1"/>
      <c r="D294" s="1"/>
      <c r="E294" s="1"/>
      <c r="K294" s="203"/>
      <c r="M294" s="349"/>
      <c r="O294" s="426"/>
    </row>
    <row r="295" spans="2:15" s="168" customFormat="1" ht="25.5" customHeight="1">
      <c r="B295" s="119"/>
      <c r="C295" s="1"/>
      <c r="D295" s="1"/>
      <c r="E295" s="1"/>
      <c r="K295" s="203"/>
      <c r="M295" s="349"/>
      <c r="O295" s="426"/>
    </row>
    <row r="296" spans="2:15" s="168" customFormat="1" ht="25.5" customHeight="1">
      <c r="B296" s="119"/>
      <c r="C296" s="1"/>
      <c r="D296" s="1"/>
      <c r="E296" s="1"/>
      <c r="K296" s="203"/>
      <c r="M296" s="349"/>
      <c r="O296" s="426"/>
    </row>
    <row r="297" spans="2:15" s="168" customFormat="1" ht="25.5" customHeight="1">
      <c r="B297" s="119"/>
      <c r="C297" s="1"/>
      <c r="D297" s="1"/>
      <c r="E297" s="1"/>
      <c r="K297" s="203"/>
      <c r="M297" s="349"/>
      <c r="O297" s="426"/>
    </row>
    <row r="298" spans="2:15" s="168" customFormat="1" ht="25.5" customHeight="1">
      <c r="B298" s="119"/>
      <c r="C298" s="1"/>
      <c r="D298" s="1"/>
      <c r="E298" s="1"/>
      <c r="K298" s="203"/>
      <c r="M298" s="349"/>
      <c r="O298" s="426"/>
    </row>
    <row r="299" spans="2:15" s="168" customFormat="1" ht="25.5" customHeight="1">
      <c r="B299" s="119"/>
      <c r="C299" s="1"/>
      <c r="D299" s="1"/>
      <c r="E299" s="1"/>
      <c r="K299" s="203"/>
      <c r="M299" s="349"/>
      <c r="O299" s="426"/>
    </row>
    <row r="300" spans="2:15" s="168" customFormat="1" ht="25.5" customHeight="1">
      <c r="B300" s="119"/>
      <c r="C300" s="1"/>
      <c r="D300" s="1"/>
      <c r="E300" s="1"/>
      <c r="K300" s="203"/>
      <c r="M300" s="349"/>
      <c r="O300" s="426"/>
    </row>
    <row r="301" spans="2:15" s="168" customFormat="1" ht="25.5" customHeight="1">
      <c r="B301" s="119"/>
      <c r="C301" s="1"/>
      <c r="D301" s="1"/>
      <c r="E301" s="1"/>
      <c r="K301" s="203"/>
      <c r="M301" s="349"/>
      <c r="O301" s="426"/>
    </row>
    <row r="302" spans="2:15" s="168" customFormat="1" ht="25.5" customHeight="1">
      <c r="B302" s="119"/>
      <c r="C302" s="1"/>
      <c r="D302" s="1"/>
      <c r="E302" s="1"/>
      <c r="K302" s="203"/>
      <c r="M302" s="349"/>
      <c r="O302" s="426"/>
    </row>
    <row r="303" spans="2:15" s="168" customFormat="1" ht="25.5" customHeight="1">
      <c r="B303" s="119"/>
      <c r="C303" s="1"/>
      <c r="D303" s="1"/>
      <c r="E303" s="1"/>
      <c r="K303" s="203"/>
      <c r="M303" s="349"/>
      <c r="O303" s="426"/>
    </row>
    <row r="304" spans="2:15" s="168" customFormat="1" ht="25.5" customHeight="1">
      <c r="B304" s="119"/>
      <c r="C304" s="1"/>
      <c r="D304" s="1"/>
      <c r="E304" s="1"/>
      <c r="K304" s="203"/>
      <c r="M304" s="349"/>
      <c r="O304" s="426"/>
    </row>
    <row r="305" spans="2:15" s="168" customFormat="1" ht="25.5" customHeight="1">
      <c r="B305" s="119"/>
      <c r="C305" s="1"/>
      <c r="D305" s="1"/>
      <c r="E305" s="1"/>
      <c r="K305" s="203"/>
      <c r="M305" s="349"/>
      <c r="O305" s="426"/>
    </row>
    <row r="306" spans="2:15" s="168" customFormat="1" ht="25.5" customHeight="1">
      <c r="B306" s="119"/>
      <c r="C306" s="1"/>
      <c r="D306" s="1"/>
      <c r="E306" s="1"/>
      <c r="K306" s="203"/>
      <c r="M306" s="349"/>
      <c r="O306" s="426"/>
    </row>
    <row r="307" spans="2:15" s="168" customFormat="1" ht="25.5" customHeight="1">
      <c r="B307" s="119"/>
      <c r="C307" s="1"/>
      <c r="D307" s="1"/>
      <c r="E307" s="1"/>
      <c r="K307" s="203"/>
      <c r="M307" s="349"/>
      <c r="O307" s="426"/>
    </row>
    <row r="308" spans="2:15" s="168" customFormat="1" ht="25.5" customHeight="1">
      <c r="B308" s="119"/>
      <c r="C308" s="1"/>
      <c r="D308" s="1"/>
      <c r="E308" s="1"/>
      <c r="K308" s="203"/>
      <c r="M308" s="349"/>
      <c r="O308" s="426"/>
    </row>
    <row r="309" spans="2:15" s="168" customFormat="1" ht="25.5" customHeight="1">
      <c r="B309" s="119"/>
      <c r="C309" s="1"/>
      <c r="D309" s="1"/>
      <c r="E309" s="1"/>
      <c r="K309" s="203"/>
      <c r="M309" s="349"/>
      <c r="O309" s="426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6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6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6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6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6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6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6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6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6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6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6"/>
    </row>
    <row r="321" spans="2:15" s="168" customFormat="1" ht="25.5" customHeight="1">
      <c r="B321" s="119"/>
      <c r="C321" s="1"/>
      <c r="D321" s="1"/>
      <c r="E321" s="1"/>
      <c r="K321" s="203"/>
      <c r="M321" s="349"/>
      <c r="O321" s="426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6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6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6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6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6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6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6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6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6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6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6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6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6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6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6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6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6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6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6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6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6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6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6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6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6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6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6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6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6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6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6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6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6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6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6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6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6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6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6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6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6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6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6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6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6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6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6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6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6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6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6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6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6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6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6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6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6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6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6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6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6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6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6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6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6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6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6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6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6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6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6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6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6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6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6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6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6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6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6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6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6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6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6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6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6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6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6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6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6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6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6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6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6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6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6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6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6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6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6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6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6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6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6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6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6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6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6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6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6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6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6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6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6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6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6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6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6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6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6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6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6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6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6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6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6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6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6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6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6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6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6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6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6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6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6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6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6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6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6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6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6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6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6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6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6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6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6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6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6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6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6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6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6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6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6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6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6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6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6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6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6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6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6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6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6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6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6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6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6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6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6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6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6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6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6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6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6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6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6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6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6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6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6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6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6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6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6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6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6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6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6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6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6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6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6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6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6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6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6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6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6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6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6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6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6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6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6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6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6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6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6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6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6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6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6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6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6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6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6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6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6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6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6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6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6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6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6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6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6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6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6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zoomScale="120" zoomScaleNormal="120" workbookViewId="0">
      <selection activeCell="E3" sqref="E3"/>
    </sheetView>
  </sheetViews>
  <sheetFormatPr baseColWidth="10" defaultColWidth="17.5" defaultRowHeight="30" customHeight="1"/>
  <cols>
    <col min="1" max="1" width="10.1640625" style="496" customWidth="1"/>
    <col min="2" max="3" width="17.5" style="496"/>
    <col min="4" max="4" width="17.5" style="503"/>
    <col min="5" max="6" width="23.1640625" style="496" bestFit="1" customWidth="1"/>
    <col min="7" max="7" width="22.5" style="533" bestFit="1" customWidth="1"/>
    <col min="8" max="16384" width="17.5" style="496"/>
  </cols>
  <sheetData>
    <row r="1" spans="2:14" s="52" customFormat="1" ht="30" customHeight="1">
      <c r="B1" s="53"/>
      <c r="D1" s="55"/>
      <c r="G1" s="529"/>
      <c r="L1" s="54"/>
      <c r="N1" s="55"/>
    </row>
    <row r="2" spans="2:14" s="152" customFormat="1" ht="30" customHeight="1">
      <c r="B2" s="125" t="s">
        <v>4</v>
      </c>
      <c r="C2" s="123"/>
      <c r="D2" s="124" t="s">
        <v>355</v>
      </c>
      <c r="E2" s="124" t="s">
        <v>356</v>
      </c>
      <c r="F2" s="124" t="s">
        <v>357</v>
      </c>
      <c r="G2" s="525" t="s">
        <v>358</v>
      </c>
      <c r="I2" s="123" t="s">
        <v>359</v>
      </c>
      <c r="J2" s="124"/>
      <c r="K2" s="124"/>
    </row>
    <row r="3" spans="2:14" s="52" customFormat="1" ht="30" customHeight="1">
      <c r="B3" s="135" t="s">
        <v>360</v>
      </c>
      <c r="C3" s="46"/>
      <c r="D3" s="150">
        <v>55</v>
      </c>
      <c r="E3" s="131">
        <f t="shared" ref="E3:E6" si="0">D3*SEK</f>
        <v>55</v>
      </c>
      <c r="F3" s="133">
        <f>D3*EUR</f>
        <v>5.3900000000000006</v>
      </c>
      <c r="G3" s="131">
        <f t="shared" ref="G3:G11" si="1">(D3*(1+Safespring.price.increase))*(1+sunet.price.increase)</f>
        <v>67.650000000000006</v>
      </c>
      <c r="I3" s="88" t="s">
        <v>203</v>
      </c>
      <c r="J3" s="49"/>
      <c r="K3" s="493">
        <v>1</v>
      </c>
    </row>
    <row r="4" spans="2:14" s="52" customFormat="1" ht="30" customHeight="1">
      <c r="B4" s="86" t="s">
        <v>361</v>
      </c>
      <c r="C4" s="85"/>
      <c r="D4" s="150">
        <v>3.6</v>
      </c>
      <c r="E4" s="132">
        <f t="shared" si="0"/>
        <v>3.6</v>
      </c>
      <c r="F4" s="134">
        <f>D4*EUR</f>
        <v>0.3528</v>
      </c>
      <c r="G4" s="528">
        <f t="shared" si="1"/>
        <v>4.4279999999999999</v>
      </c>
      <c r="I4" s="122" t="s">
        <v>357</v>
      </c>
      <c r="K4" s="494">
        <v>9.8000000000000004E-2</v>
      </c>
    </row>
    <row r="5" spans="2:14" s="52" customFormat="1" ht="30" customHeight="1">
      <c r="B5" s="135" t="s">
        <v>362</v>
      </c>
      <c r="C5" s="46"/>
      <c r="D5" s="150">
        <v>80</v>
      </c>
      <c r="E5" s="131">
        <f t="shared" si="0"/>
        <v>80</v>
      </c>
      <c r="F5" s="133">
        <f t="shared" ref="F5:F6" si="2">D5*EUR</f>
        <v>7.84</v>
      </c>
      <c r="G5" s="131">
        <f t="shared" si="1"/>
        <v>98.4</v>
      </c>
      <c r="I5" s="88" t="s">
        <v>265</v>
      </c>
      <c r="J5" s="49"/>
      <c r="K5" s="495">
        <v>1</v>
      </c>
    </row>
    <row r="6" spans="2:14" s="52" customFormat="1" ht="30" customHeight="1">
      <c r="B6" s="86" t="s">
        <v>363</v>
      </c>
      <c r="C6" s="85"/>
      <c r="D6" s="150">
        <v>1</v>
      </c>
      <c r="E6" s="132">
        <f t="shared" si="0"/>
        <v>1</v>
      </c>
      <c r="F6" s="134">
        <f t="shared" si="2"/>
        <v>9.8000000000000004E-2</v>
      </c>
      <c r="G6" s="132">
        <f t="shared" si="1"/>
        <v>1.23</v>
      </c>
      <c r="I6" s="146"/>
      <c r="J6" s="147"/>
      <c r="K6" s="146"/>
    </row>
    <row r="7" spans="2:14" s="52" customFormat="1" ht="30" customHeight="1">
      <c r="B7" s="135" t="s">
        <v>364</v>
      </c>
      <c r="C7" s="46"/>
      <c r="D7" s="150">
        <v>5500</v>
      </c>
      <c r="E7" s="131">
        <f>D7*SEK</f>
        <v>5500</v>
      </c>
      <c r="F7" s="133">
        <f>D7*EUR</f>
        <v>539</v>
      </c>
      <c r="G7" s="131">
        <f t="shared" si="1"/>
        <v>6765</v>
      </c>
      <c r="J7" s="54"/>
    </row>
    <row r="8" spans="2:14" s="52" customFormat="1" ht="30" customHeight="1">
      <c r="B8" s="454" t="s">
        <v>365</v>
      </c>
      <c r="C8" s="455"/>
      <c r="D8" s="150">
        <v>2.66</v>
      </c>
      <c r="E8" s="456">
        <f>D8*IAAS_vcpu_SEK*SEK</f>
        <v>212.8</v>
      </c>
      <c r="F8" s="457">
        <f>D8*IAAS_vcpu_SEK*EUR</f>
        <v>20.854400000000002</v>
      </c>
      <c r="G8" s="456">
        <f t="shared" si="1"/>
        <v>3.2718000000000003</v>
      </c>
      <c r="I8" s="125" t="s">
        <v>366</v>
      </c>
      <c r="J8" s="126" t="s">
        <v>367</v>
      </c>
      <c r="K8" s="124" t="s">
        <v>92</v>
      </c>
    </row>
    <row r="9" spans="2:14" s="52" customFormat="1" ht="30" customHeight="1">
      <c r="B9" s="135" t="s">
        <v>368</v>
      </c>
      <c r="C9" s="46"/>
      <c r="D9" s="150">
        <v>65</v>
      </c>
      <c r="E9" s="538" t="s">
        <v>94</v>
      </c>
      <c r="F9" s="539" t="s">
        <v>94</v>
      </c>
      <c r="G9" s="131">
        <f t="shared" si="1"/>
        <v>79.95</v>
      </c>
      <c r="I9" s="47" t="s">
        <v>369</v>
      </c>
      <c r="J9" s="145"/>
      <c r="K9" s="17">
        <f>J9*IAAS_vcpu_SEK</f>
        <v>0</v>
      </c>
    </row>
    <row r="10" spans="2:14" s="52" customFormat="1" ht="30" customHeight="1">
      <c r="B10" s="454" t="s">
        <v>370</v>
      </c>
      <c r="C10" s="455"/>
      <c r="D10" s="150">
        <v>85</v>
      </c>
      <c r="E10" s="540" t="s">
        <v>94</v>
      </c>
      <c r="F10" s="541" t="s">
        <v>94</v>
      </c>
      <c r="G10" s="456">
        <f t="shared" si="1"/>
        <v>104.55</v>
      </c>
      <c r="I10" s="127" t="s">
        <v>371</v>
      </c>
      <c r="J10" s="145"/>
      <c r="K10" s="87">
        <f>J10*IAAS_ram_SEK</f>
        <v>0</v>
      </c>
    </row>
    <row r="11" spans="2:14" s="153" customFormat="1" ht="30" customHeight="1">
      <c r="B11" s="135" t="s">
        <v>372</v>
      </c>
      <c r="C11" s="46"/>
      <c r="D11" s="150">
        <v>3.8</v>
      </c>
      <c r="E11" s="538" t="s">
        <v>94</v>
      </c>
      <c r="F11" s="539" t="s">
        <v>94</v>
      </c>
      <c r="G11" s="131">
        <f t="shared" si="1"/>
        <v>4.6739999999999995</v>
      </c>
      <c r="I11" s="128" t="s">
        <v>344</v>
      </c>
      <c r="J11" s="129"/>
      <c r="K11" s="130">
        <f>SUM(K9:K10)</f>
        <v>0</v>
      </c>
    </row>
    <row r="12" spans="2:14" s="52" customFormat="1" ht="30" customHeight="1">
      <c r="B12" s="458"/>
      <c r="C12" s="459"/>
      <c r="D12" s="460"/>
      <c r="E12" s="460"/>
      <c r="F12" s="460"/>
      <c r="G12" s="526"/>
      <c r="L12" s="54"/>
      <c r="N12" s="496"/>
    </row>
    <row r="13" spans="2:14" ht="30" customHeight="1">
      <c r="B13" s="125" t="s">
        <v>373</v>
      </c>
      <c r="C13" s="123"/>
      <c r="D13" s="124" t="s">
        <v>355</v>
      </c>
      <c r="E13" s="124" t="s">
        <v>203</v>
      </c>
      <c r="F13" s="124" t="s">
        <v>357</v>
      </c>
      <c r="G13" s="525" t="s">
        <v>374</v>
      </c>
      <c r="I13" s="125" t="s">
        <v>375</v>
      </c>
      <c r="J13" s="125"/>
      <c r="K13" s="126" t="s">
        <v>376</v>
      </c>
      <c r="L13" s="497"/>
    </row>
    <row r="14" spans="2:14" ht="30" customHeight="1">
      <c r="B14" s="135" t="s">
        <v>59</v>
      </c>
      <c r="C14" s="46"/>
      <c r="D14" s="161">
        <f>INSTANCE_p1.4xlarge.16d_SEK/2</f>
        <v>6840</v>
      </c>
      <c r="E14" s="131">
        <f t="shared" ref="E14:E16" si="3">D14*SEK</f>
        <v>6840</v>
      </c>
      <c r="F14" s="133">
        <f t="shared" ref="F14:F16" si="4">D14*EUR</f>
        <v>670.32</v>
      </c>
      <c r="G14" s="527"/>
      <c r="I14" s="47" t="s">
        <v>377</v>
      </c>
      <c r="J14" s="47"/>
      <c r="K14" s="523">
        <v>0</v>
      </c>
    </row>
    <row r="15" spans="2:14" s="498" customFormat="1" ht="30" customHeight="1">
      <c r="B15" s="86" t="s">
        <v>61</v>
      </c>
      <c r="C15" s="85"/>
      <c r="D15" s="160">
        <v>13680</v>
      </c>
      <c r="E15" s="132">
        <f t="shared" si="3"/>
        <v>13680</v>
      </c>
      <c r="F15" s="134">
        <f t="shared" si="4"/>
        <v>1340.64</v>
      </c>
      <c r="G15" s="528"/>
      <c r="I15" s="127" t="s">
        <v>378</v>
      </c>
      <c r="J15" s="127"/>
      <c r="K15" s="523">
        <v>0.23</v>
      </c>
    </row>
    <row r="16" spans="2:14" ht="30" customHeight="1">
      <c r="B16" s="135" t="s">
        <v>62</v>
      </c>
      <c r="C16" s="46"/>
      <c r="D16" s="161">
        <f>INSTANCE_p1.4xlarge.16d_SEK*2</f>
        <v>27360</v>
      </c>
      <c r="E16" s="131">
        <f t="shared" si="3"/>
        <v>27360</v>
      </c>
      <c r="F16" s="133">
        <f t="shared" si="4"/>
        <v>2681.28</v>
      </c>
      <c r="G16" s="527"/>
      <c r="I16" s="128"/>
      <c r="J16" s="129"/>
      <c r="K16" s="524"/>
    </row>
    <row r="17" spans="2:7" s="498" customFormat="1" ht="30" customHeight="1">
      <c r="B17" s="146"/>
      <c r="C17" s="146"/>
      <c r="D17" s="154"/>
      <c r="E17" s="146"/>
      <c r="F17" s="146"/>
      <c r="G17" s="530"/>
    </row>
    <row r="18" spans="2:7" ht="30" customHeight="1">
      <c r="B18" s="125" t="s">
        <v>4</v>
      </c>
      <c r="C18" s="123"/>
      <c r="D18" s="124" t="s">
        <v>355</v>
      </c>
      <c r="E18" s="124" t="s">
        <v>203</v>
      </c>
      <c r="F18" s="124" t="s">
        <v>357</v>
      </c>
      <c r="G18" s="525" t="s">
        <v>374</v>
      </c>
    </row>
    <row r="19" spans="2:7" s="498" customFormat="1" ht="30" customHeight="1">
      <c r="B19" s="135" t="s">
        <v>67</v>
      </c>
      <c r="C19" s="46"/>
      <c r="D19" s="150">
        <v>1.2</v>
      </c>
      <c r="E19" s="131">
        <f>D19*SEK</f>
        <v>1.2</v>
      </c>
      <c r="F19" s="133">
        <f>D19*EUR</f>
        <v>0.1176</v>
      </c>
      <c r="G19" s="527">
        <f>(D19*(1+Safespring.price.increase))*(1+sunet.price.increase)</f>
        <v>1.476</v>
      </c>
    </row>
    <row r="20" spans="2:7" ht="30" customHeight="1">
      <c r="B20" s="86" t="s">
        <v>70</v>
      </c>
      <c r="C20" s="85"/>
      <c r="D20" s="150">
        <v>3.6</v>
      </c>
      <c r="E20" s="132">
        <f>D20*SEK</f>
        <v>3.6</v>
      </c>
      <c r="F20" s="134">
        <f>D20*EUR</f>
        <v>0.3528</v>
      </c>
      <c r="G20" s="528">
        <f>(D20*(1+Safespring.price.increase))*(1+sunet.price.increase)</f>
        <v>4.4279999999999999</v>
      </c>
    </row>
    <row r="21" spans="2:7" s="498" customFormat="1" ht="30" customHeight="1">
      <c r="B21" s="499"/>
      <c r="C21" s="499"/>
      <c r="D21" s="500"/>
      <c r="E21" s="499"/>
      <c r="F21" s="499"/>
      <c r="G21" s="531"/>
    </row>
    <row r="22" spans="2:7" ht="30" customHeight="1">
      <c r="B22" s="125" t="s">
        <v>86</v>
      </c>
      <c r="C22" s="123"/>
      <c r="D22" s="124" t="s">
        <v>355</v>
      </c>
      <c r="E22" s="124" t="s">
        <v>203</v>
      </c>
      <c r="F22" s="124" t="s">
        <v>357</v>
      </c>
      <c r="G22" s="525" t="s">
        <v>374</v>
      </c>
    </row>
    <row r="23" spans="2:7" ht="30" customHeight="1">
      <c r="B23" s="135" t="s">
        <v>379</v>
      </c>
      <c r="C23" s="46"/>
      <c r="D23" s="150">
        <v>2.4500000000000002</v>
      </c>
      <c r="E23" s="131">
        <f t="shared" ref="E23:E26" si="5">D23*SEK</f>
        <v>2.4500000000000002</v>
      </c>
      <c r="F23" s="133">
        <f t="shared" ref="F23:F26" si="6">D23*EUR</f>
        <v>0.24010000000000004</v>
      </c>
      <c r="G23" s="527"/>
    </row>
    <row r="24" spans="2:7" ht="30" customHeight="1">
      <c r="B24" s="86" t="s">
        <v>380</v>
      </c>
      <c r="C24" s="85"/>
      <c r="D24" s="151">
        <v>5500</v>
      </c>
      <c r="E24" s="132">
        <f t="shared" ref="E24:E25" si="7">D24*SEK</f>
        <v>5500</v>
      </c>
      <c r="F24" s="134">
        <f t="shared" ref="F24:F25" si="8">D24*EUR</f>
        <v>539</v>
      </c>
      <c r="G24" s="528"/>
    </row>
    <row r="25" spans="2:7" ht="30" customHeight="1">
      <c r="B25" s="135" t="s">
        <v>381</v>
      </c>
      <c r="C25" s="46"/>
      <c r="D25" s="150">
        <v>9500</v>
      </c>
      <c r="E25" s="131">
        <f t="shared" si="7"/>
        <v>9500</v>
      </c>
      <c r="F25" s="133">
        <f t="shared" si="8"/>
        <v>931</v>
      </c>
      <c r="G25" s="527"/>
    </row>
    <row r="26" spans="2:7" ht="30" customHeight="1">
      <c r="B26" s="86" t="s">
        <v>382</v>
      </c>
      <c r="C26" s="85"/>
      <c r="D26" s="151">
        <v>1.75</v>
      </c>
      <c r="E26" s="132">
        <f t="shared" si="5"/>
        <v>1.75</v>
      </c>
      <c r="F26" s="134">
        <f t="shared" si="6"/>
        <v>0.17150000000000001</v>
      </c>
      <c r="G26" s="528"/>
    </row>
    <row r="27" spans="2:7" ht="30" customHeight="1">
      <c r="B27" s="135" t="s">
        <v>383</v>
      </c>
      <c r="C27" s="46"/>
      <c r="D27" s="150">
        <v>0.92</v>
      </c>
      <c r="E27" s="131">
        <f t="shared" ref="E27" si="9">D27*SEK</f>
        <v>0.92</v>
      </c>
      <c r="F27" s="133">
        <f t="shared" ref="F27" si="10">D27*EUR</f>
        <v>9.0160000000000004E-2</v>
      </c>
      <c r="G27" s="527"/>
    </row>
    <row r="28" spans="2:7" ht="30" customHeight="1">
      <c r="B28" s="501"/>
      <c r="C28" s="501"/>
      <c r="D28" s="501"/>
      <c r="E28" s="501"/>
      <c r="F28" s="501"/>
      <c r="G28" s="532"/>
    </row>
    <row r="29" spans="2:7" ht="30" customHeight="1">
      <c r="B29" s="125" t="s">
        <v>72</v>
      </c>
      <c r="C29" s="123"/>
      <c r="D29" s="124" t="s">
        <v>355</v>
      </c>
      <c r="E29" s="124" t="s">
        <v>203</v>
      </c>
      <c r="F29" s="124" t="s">
        <v>357</v>
      </c>
      <c r="G29" s="525" t="s">
        <v>374</v>
      </c>
    </row>
    <row r="30" spans="2:7" ht="30" customHeight="1">
      <c r="B30" s="135" t="s">
        <v>384</v>
      </c>
      <c r="C30" s="46"/>
      <c r="D30" s="432">
        <v>500</v>
      </c>
      <c r="E30" s="131">
        <f t="shared" ref="E30:E33" si="11">D30*SEK</f>
        <v>500</v>
      </c>
      <c r="F30" s="133">
        <f t="shared" ref="F30:F33" si="12">D30*EUR</f>
        <v>49</v>
      </c>
      <c r="G30" s="527">
        <v>0.35</v>
      </c>
    </row>
    <row r="31" spans="2:7" ht="30" customHeight="1">
      <c r="B31" s="574" t="s">
        <v>385</v>
      </c>
      <c r="C31" s="85"/>
      <c r="D31" s="432">
        <v>500</v>
      </c>
      <c r="E31" s="132">
        <f t="shared" si="11"/>
        <v>500</v>
      </c>
      <c r="F31" s="134">
        <f t="shared" si="12"/>
        <v>49</v>
      </c>
      <c r="G31" s="528">
        <v>0.19</v>
      </c>
    </row>
    <row r="32" spans="2:7" ht="30" customHeight="1">
      <c r="B32" s="135" t="s">
        <v>386</v>
      </c>
      <c r="C32" s="46"/>
      <c r="D32" s="432">
        <v>500</v>
      </c>
      <c r="E32" s="131">
        <f t="shared" si="11"/>
        <v>500</v>
      </c>
      <c r="F32" s="133">
        <f t="shared" si="12"/>
        <v>49</v>
      </c>
      <c r="G32" s="527">
        <v>0.1</v>
      </c>
    </row>
    <row r="33" spans="2:7" ht="30" customHeight="1">
      <c r="B33" s="574" t="s">
        <v>387</v>
      </c>
      <c r="C33" s="85"/>
      <c r="D33" s="432">
        <v>500</v>
      </c>
      <c r="E33" s="132">
        <f t="shared" si="11"/>
        <v>500</v>
      </c>
      <c r="F33" s="134">
        <f t="shared" si="12"/>
        <v>49</v>
      </c>
      <c r="G33" s="528">
        <v>0.06</v>
      </c>
    </row>
    <row r="34" spans="2:7" ht="30" customHeight="1">
      <c r="B34" s="135" t="s">
        <v>388</v>
      </c>
      <c r="C34" s="46"/>
      <c r="D34" s="432" t="s">
        <v>389</v>
      </c>
      <c r="E34" s="158" t="str">
        <f>D34</f>
        <v>Be om offert</v>
      </c>
      <c r="F34" s="663" t="s">
        <v>393</v>
      </c>
      <c r="G34" s="527" t="str">
        <f>S3_storage.quote_SEK</f>
        <v>Be om offert</v>
      </c>
    </row>
    <row r="35" spans="2:7" ht="30" customHeight="1">
      <c r="B35" s="574" t="s">
        <v>425</v>
      </c>
      <c r="C35" s="85"/>
      <c r="D35" s="432">
        <v>350</v>
      </c>
      <c r="E35" s="132">
        <f t="shared" ref="E35:E38" si="13">D35*SEK</f>
        <v>350</v>
      </c>
      <c r="F35" s="134">
        <f t="shared" ref="F35:F38" si="14">D35*EUR</f>
        <v>34.300000000000004</v>
      </c>
      <c r="G35" s="528">
        <v>0.35</v>
      </c>
    </row>
    <row r="36" spans="2:7" ht="30" customHeight="1">
      <c r="B36" s="135" t="s">
        <v>426</v>
      </c>
      <c r="C36" s="46"/>
      <c r="D36" s="432">
        <v>270</v>
      </c>
      <c r="E36" s="131">
        <f t="shared" si="13"/>
        <v>270</v>
      </c>
      <c r="F36" s="133">
        <f t="shared" si="14"/>
        <v>26.46</v>
      </c>
      <c r="G36" s="527">
        <v>0.19</v>
      </c>
    </row>
    <row r="37" spans="2:7" ht="30" customHeight="1">
      <c r="B37" s="574" t="s">
        <v>427</v>
      </c>
      <c r="C37" s="85"/>
      <c r="D37" s="432">
        <v>200</v>
      </c>
      <c r="E37" s="132">
        <f t="shared" si="13"/>
        <v>200</v>
      </c>
      <c r="F37" s="134">
        <f t="shared" si="14"/>
        <v>19.600000000000001</v>
      </c>
      <c r="G37" s="528">
        <v>0.1</v>
      </c>
    </row>
    <row r="38" spans="2:7" ht="30" customHeight="1">
      <c r="B38" s="135" t="s">
        <v>428</v>
      </c>
      <c r="C38" s="46"/>
      <c r="D38" s="432">
        <v>185</v>
      </c>
      <c r="E38" s="131">
        <f t="shared" si="13"/>
        <v>185</v>
      </c>
      <c r="F38" s="133">
        <f t="shared" si="14"/>
        <v>18.13</v>
      </c>
      <c r="G38" s="527">
        <v>0.06</v>
      </c>
    </row>
    <row r="39" spans="2:7" ht="30" customHeight="1">
      <c r="B39" s="574" t="s">
        <v>429</v>
      </c>
      <c r="C39" s="85"/>
      <c r="D39" s="432" t="s">
        <v>389</v>
      </c>
      <c r="E39" s="156" t="str">
        <f>D39</f>
        <v>Be om offert</v>
      </c>
      <c r="F39" s="664" t="s">
        <v>393</v>
      </c>
      <c r="G39" s="528" t="str">
        <f>S3_storage.quote_SEK</f>
        <v>Be om offert</v>
      </c>
    </row>
    <row r="40" spans="2:7" ht="30" customHeight="1">
      <c r="B40" s="501"/>
      <c r="C40" s="501"/>
      <c r="D40" s="501"/>
      <c r="E40" s="501"/>
      <c r="F40" s="501"/>
      <c r="G40" s="532"/>
    </row>
    <row r="41" spans="2:7" ht="30" customHeight="1">
      <c r="B41" s="125" t="s">
        <v>390</v>
      </c>
      <c r="C41" s="123"/>
      <c r="D41" s="124" t="s">
        <v>355</v>
      </c>
      <c r="E41" s="124" t="s">
        <v>203</v>
      </c>
      <c r="F41" s="124" t="s">
        <v>357</v>
      </c>
      <c r="G41" s="525" t="s">
        <v>374</v>
      </c>
    </row>
    <row r="42" spans="2:7" ht="30" customHeight="1">
      <c r="B42" s="135" t="s">
        <v>104</v>
      </c>
      <c r="C42" s="46"/>
      <c r="D42" s="150">
        <v>25</v>
      </c>
      <c r="E42" s="131">
        <f t="shared" ref="E42:E47" si="15">D42*SEK</f>
        <v>25</v>
      </c>
      <c r="F42" s="133">
        <f>D42*EUR</f>
        <v>2.4500000000000002</v>
      </c>
      <c r="G42" s="527" t="s">
        <v>94</v>
      </c>
    </row>
    <row r="43" spans="2:7" ht="30" customHeight="1">
      <c r="B43" s="86" t="s">
        <v>108</v>
      </c>
      <c r="C43" s="85"/>
      <c r="D43" s="150">
        <v>0</v>
      </c>
      <c r="E43" s="132">
        <f t="shared" si="15"/>
        <v>0</v>
      </c>
      <c r="F43" s="134">
        <f t="shared" ref="F43:F47" si="16">D43*EUR</f>
        <v>0</v>
      </c>
      <c r="G43" s="528" t="s">
        <v>94</v>
      </c>
    </row>
    <row r="44" spans="2:7" ht="30" customHeight="1">
      <c r="B44" s="135" t="s">
        <v>110</v>
      </c>
      <c r="C44" s="46"/>
      <c r="D44" s="150">
        <v>0</v>
      </c>
      <c r="E44" s="131">
        <f t="shared" si="15"/>
        <v>0</v>
      </c>
      <c r="F44" s="133">
        <f t="shared" si="16"/>
        <v>0</v>
      </c>
      <c r="G44" s="527" t="s">
        <v>94</v>
      </c>
    </row>
    <row r="45" spans="2:7" ht="30" customHeight="1">
      <c r="B45" s="86" t="s">
        <v>112</v>
      </c>
      <c r="C45" s="85"/>
      <c r="D45" s="150">
        <v>0.25</v>
      </c>
      <c r="E45" s="132">
        <f t="shared" si="15"/>
        <v>0.25</v>
      </c>
      <c r="F45" s="134">
        <f>D45*EUR</f>
        <v>2.4500000000000001E-2</v>
      </c>
      <c r="G45" s="528" t="s">
        <v>94</v>
      </c>
    </row>
    <row r="46" spans="2:7" ht="30" customHeight="1">
      <c r="B46" s="135" t="s">
        <v>114</v>
      </c>
      <c r="C46" s="46"/>
      <c r="D46" s="150" t="s">
        <v>249</v>
      </c>
      <c r="E46" s="158" t="str">
        <f>D46</f>
        <v>Begär offert</v>
      </c>
      <c r="F46" s="673" t="s">
        <v>393</v>
      </c>
      <c r="G46" s="527" t="s">
        <v>94</v>
      </c>
    </row>
    <row r="47" spans="2:7" ht="30" customHeight="1">
      <c r="B47" s="86" t="s">
        <v>117</v>
      </c>
      <c r="C47" s="85"/>
      <c r="D47" s="150">
        <v>0</v>
      </c>
      <c r="E47" s="132">
        <f t="shared" si="15"/>
        <v>0</v>
      </c>
      <c r="F47" s="134">
        <f t="shared" si="16"/>
        <v>0</v>
      </c>
      <c r="G47" s="528" t="s">
        <v>94</v>
      </c>
    </row>
    <row r="48" spans="2:7" ht="30" customHeight="1">
      <c r="B48" s="135" t="s">
        <v>119</v>
      </c>
      <c r="C48" s="46"/>
      <c r="D48" s="150" t="s">
        <v>249</v>
      </c>
      <c r="E48" s="158" t="str">
        <f>D48</f>
        <v>Begär offert</v>
      </c>
      <c r="F48" s="159" t="s">
        <v>393</v>
      </c>
      <c r="G48" s="158" t="str">
        <f>S3_storage.quote_SEK</f>
        <v>Be om offert</v>
      </c>
    </row>
    <row r="49" spans="2:9" ht="30" customHeight="1">
      <c r="B49" s="86" t="s">
        <v>120</v>
      </c>
      <c r="C49" s="85"/>
      <c r="D49" s="151">
        <v>0</v>
      </c>
      <c r="E49" s="132">
        <f t="shared" ref="E49" si="17">D49*SEK</f>
        <v>0</v>
      </c>
      <c r="F49" s="134">
        <f t="shared" ref="F49" si="18">D49*EUR</f>
        <v>0</v>
      </c>
      <c r="G49" s="528" t="s">
        <v>94</v>
      </c>
    </row>
    <row r="50" spans="2:9" ht="30" customHeight="1">
      <c r="B50" s="499"/>
      <c r="C50" s="499"/>
      <c r="D50" s="500"/>
      <c r="E50" s="499"/>
      <c r="F50" s="499"/>
      <c r="G50" s="531"/>
    </row>
    <row r="51" spans="2:9" ht="30" customHeight="1">
      <c r="B51" s="125" t="s">
        <v>391</v>
      </c>
      <c r="C51" s="123"/>
      <c r="D51" s="124" t="s">
        <v>355</v>
      </c>
      <c r="E51" s="124" t="s">
        <v>203</v>
      </c>
      <c r="F51" s="124" t="s">
        <v>357</v>
      </c>
      <c r="G51" s="525" t="s">
        <v>374</v>
      </c>
    </row>
    <row r="52" spans="2:9" ht="30" customHeight="1">
      <c r="B52" s="135" t="s">
        <v>392</v>
      </c>
      <c r="C52" s="46"/>
      <c r="D52" s="150">
        <v>78</v>
      </c>
      <c r="E52" s="131">
        <f t="shared" ref="E52:E58" si="19">D52*SEK</f>
        <v>78</v>
      </c>
      <c r="F52" s="133">
        <f>D52*EUR</f>
        <v>7.6440000000000001</v>
      </c>
      <c r="G52" s="527" t="s">
        <v>94</v>
      </c>
    </row>
    <row r="53" spans="2:9" ht="30" customHeight="1">
      <c r="B53" s="86" t="s">
        <v>126</v>
      </c>
      <c r="C53" s="85"/>
      <c r="D53" s="150">
        <v>1498</v>
      </c>
      <c r="E53" s="132">
        <f t="shared" si="19"/>
        <v>1498</v>
      </c>
      <c r="F53" s="134">
        <f>D53*EUR</f>
        <v>146.804</v>
      </c>
      <c r="G53" s="528" t="s">
        <v>94</v>
      </c>
    </row>
    <row r="54" spans="2:9" ht="30" customHeight="1">
      <c r="B54" s="135" t="s">
        <v>128</v>
      </c>
      <c r="C54" s="46"/>
      <c r="D54" s="150"/>
      <c r="E54" s="158" t="s">
        <v>249</v>
      </c>
      <c r="F54" s="159" t="s">
        <v>393</v>
      </c>
      <c r="G54" s="527" t="s">
        <v>94</v>
      </c>
    </row>
    <row r="55" spans="2:9" ht="30" customHeight="1">
      <c r="B55" s="86" t="s">
        <v>130</v>
      </c>
      <c r="C55" s="85"/>
      <c r="D55" s="150"/>
      <c r="E55" s="156" t="s">
        <v>249</v>
      </c>
      <c r="F55" s="157" t="s">
        <v>393</v>
      </c>
      <c r="G55" s="528" t="s">
        <v>94</v>
      </c>
    </row>
    <row r="56" spans="2:9" ht="30" customHeight="1">
      <c r="B56" s="135" t="s">
        <v>394</v>
      </c>
      <c r="C56" s="46"/>
      <c r="D56" s="150"/>
      <c r="E56" s="158" t="s">
        <v>249</v>
      </c>
      <c r="F56" s="159" t="s">
        <v>393</v>
      </c>
      <c r="G56" s="527" t="s">
        <v>94</v>
      </c>
    </row>
    <row r="57" spans="2:9" ht="30" customHeight="1">
      <c r="B57" s="86" t="s">
        <v>134</v>
      </c>
      <c r="C57" s="85"/>
      <c r="D57" s="150"/>
      <c r="E57" s="156" t="s">
        <v>395</v>
      </c>
      <c r="F57" s="157" t="s">
        <v>396</v>
      </c>
      <c r="G57" s="528" t="s">
        <v>94</v>
      </c>
    </row>
    <row r="58" spans="2:9" ht="30" customHeight="1">
      <c r="B58" s="135" t="s">
        <v>136</v>
      </c>
      <c r="C58" s="46"/>
      <c r="D58" s="150">
        <v>400</v>
      </c>
      <c r="E58" s="131">
        <f t="shared" si="19"/>
        <v>400</v>
      </c>
      <c r="F58" s="133">
        <f>D58*EUR</f>
        <v>39.200000000000003</v>
      </c>
      <c r="G58" s="527" t="s">
        <v>94</v>
      </c>
      <c r="I58" s="502"/>
    </row>
    <row r="59" spans="2:9" ht="30" customHeight="1">
      <c r="B59" s="499"/>
      <c r="C59" s="499"/>
      <c r="D59" s="500"/>
      <c r="E59" s="499"/>
      <c r="F59" s="499"/>
      <c r="G59" s="531"/>
      <c r="I59" s="502"/>
    </row>
    <row r="60" spans="2:9" ht="30" customHeight="1">
      <c r="B60" s="125" t="s">
        <v>243</v>
      </c>
      <c r="C60" s="123"/>
      <c r="D60" s="124" t="s">
        <v>355</v>
      </c>
      <c r="E60" s="124" t="s">
        <v>203</v>
      </c>
      <c r="F60" s="124" t="s">
        <v>357</v>
      </c>
      <c r="G60" s="525" t="s">
        <v>374</v>
      </c>
      <c r="I60" s="502"/>
    </row>
    <row r="61" spans="2:9" ht="30" customHeight="1">
      <c r="B61" s="135" t="s">
        <v>413</v>
      </c>
      <c r="C61" s="46"/>
      <c r="D61" s="150">
        <v>24000</v>
      </c>
      <c r="E61" s="158">
        <f t="shared" ref="E61" si="20">D61*SEK</f>
        <v>24000</v>
      </c>
      <c r="F61" s="159">
        <f t="shared" ref="F61" si="21">D61*EUR</f>
        <v>2352</v>
      </c>
      <c r="G61" s="527" t="s">
        <v>94</v>
      </c>
      <c r="I61" s="502"/>
    </row>
    <row r="62" spans="2:9" ht="30" customHeight="1">
      <c r="B62" s="86" t="s">
        <v>414</v>
      </c>
      <c r="C62" s="85"/>
      <c r="D62" s="150">
        <v>15000</v>
      </c>
      <c r="E62" s="132">
        <f t="shared" ref="E62" si="22">D62*SEK</f>
        <v>15000</v>
      </c>
      <c r="F62" s="134">
        <f t="shared" ref="F62" si="23">D62*EUR</f>
        <v>1470</v>
      </c>
      <c r="G62" s="528" t="s">
        <v>94</v>
      </c>
      <c r="I62" s="502"/>
    </row>
    <row r="63" spans="2:9" ht="30" customHeight="1">
      <c r="B63" s="135" t="s">
        <v>141</v>
      </c>
      <c r="C63" s="46"/>
      <c r="D63" s="150"/>
      <c r="E63" s="158" t="s">
        <v>249</v>
      </c>
      <c r="F63" s="159" t="s">
        <v>599</v>
      </c>
      <c r="G63" s="527" t="s">
        <v>94</v>
      </c>
      <c r="I63" s="502"/>
    </row>
    <row r="64" spans="2:9" ht="30" customHeight="1">
      <c r="B64" s="86" t="s">
        <v>143</v>
      </c>
      <c r="C64" s="85"/>
      <c r="D64" s="150"/>
      <c r="E64" s="156" t="s">
        <v>249</v>
      </c>
      <c r="F64" s="157" t="s">
        <v>599</v>
      </c>
      <c r="G64" s="528" t="s">
        <v>94</v>
      </c>
      <c r="I64" s="502"/>
    </row>
    <row r="65" spans="2:7" ht="30" customHeight="1">
      <c r="B65" s="135" t="s">
        <v>146</v>
      </c>
      <c r="C65" s="46"/>
      <c r="D65" s="150"/>
      <c r="E65" s="158" t="s">
        <v>249</v>
      </c>
      <c r="F65" s="159" t="s">
        <v>599</v>
      </c>
      <c r="G65" s="527" t="s">
        <v>94</v>
      </c>
    </row>
    <row r="66" spans="2:7" ht="30" customHeight="1">
      <c r="B66" s="86" t="s">
        <v>149</v>
      </c>
      <c r="C66" s="85"/>
      <c r="D66" s="150"/>
      <c r="E66" s="156" t="s">
        <v>249</v>
      </c>
      <c r="F66" s="157" t="s">
        <v>599</v>
      </c>
      <c r="G66" s="528" t="s">
        <v>94</v>
      </c>
    </row>
    <row r="67" spans="2:7" ht="30" customHeight="1">
      <c r="B67" s="135" t="s">
        <v>436</v>
      </c>
      <c r="C67" s="46"/>
      <c r="D67" s="150">
        <v>0</v>
      </c>
      <c r="E67" s="158">
        <f>D67*SEK</f>
        <v>0</v>
      </c>
      <c r="F67" s="159">
        <f>D67*EUR</f>
        <v>0</v>
      </c>
      <c r="G67" s="527" t="s">
        <v>94</v>
      </c>
    </row>
    <row r="68" spans="2:7" ht="30" customHeight="1">
      <c r="B68" s="499"/>
      <c r="C68" s="499"/>
      <c r="D68" s="500"/>
      <c r="E68" s="499"/>
      <c r="F68" s="499"/>
      <c r="G68" s="531"/>
    </row>
    <row r="69" spans="2:7" ht="30" customHeight="1">
      <c r="B69" s="125" t="s">
        <v>251</v>
      </c>
      <c r="C69" s="123"/>
      <c r="D69" s="124" t="s">
        <v>355</v>
      </c>
      <c r="E69" s="124" t="s">
        <v>203</v>
      </c>
      <c r="F69" s="124" t="s">
        <v>357</v>
      </c>
      <c r="G69" s="525" t="s">
        <v>374</v>
      </c>
    </row>
    <row r="70" spans="2:7" ht="30" customHeight="1">
      <c r="B70" s="135" t="s">
        <v>165</v>
      </c>
      <c r="C70" s="46"/>
      <c r="D70" s="150">
        <v>1127</v>
      </c>
      <c r="E70" s="469">
        <f>D70*SEK</f>
        <v>1127</v>
      </c>
      <c r="F70" s="472">
        <f t="shared" ref="F70:F75" si="24">D70*EUR</f>
        <v>110.446</v>
      </c>
      <c r="G70" s="527" t="s">
        <v>94</v>
      </c>
    </row>
    <row r="71" spans="2:7" ht="30" customHeight="1">
      <c r="B71" s="86" t="s">
        <v>167</v>
      </c>
      <c r="C71" s="85"/>
      <c r="D71" s="150">
        <v>1374</v>
      </c>
      <c r="E71" s="132">
        <f t="shared" ref="E71:E75" si="25">D71*SEK</f>
        <v>1374</v>
      </c>
      <c r="F71" s="473">
        <f t="shared" si="24"/>
        <v>134.65200000000002</v>
      </c>
      <c r="G71" s="528" t="s">
        <v>94</v>
      </c>
    </row>
    <row r="72" spans="2:7" ht="30" customHeight="1">
      <c r="B72" s="135" t="s">
        <v>169</v>
      </c>
      <c r="C72" s="46"/>
      <c r="D72" s="150">
        <v>1277</v>
      </c>
      <c r="E72" s="131">
        <f t="shared" si="25"/>
        <v>1277</v>
      </c>
      <c r="F72" s="474">
        <f t="shared" si="24"/>
        <v>125.146</v>
      </c>
      <c r="G72" s="527" t="s">
        <v>94</v>
      </c>
    </row>
    <row r="73" spans="2:7" ht="30" customHeight="1">
      <c r="B73" s="86" t="s">
        <v>171</v>
      </c>
      <c r="C73" s="85"/>
      <c r="D73" s="150">
        <v>1374</v>
      </c>
      <c r="E73" s="132">
        <f t="shared" si="25"/>
        <v>1374</v>
      </c>
      <c r="F73" s="473">
        <f t="shared" si="24"/>
        <v>134.65200000000002</v>
      </c>
      <c r="G73" s="528" t="s">
        <v>94</v>
      </c>
    </row>
    <row r="74" spans="2:7" ht="30" customHeight="1">
      <c r="B74" s="135" t="s">
        <v>173</v>
      </c>
      <c r="C74" s="46"/>
      <c r="D74" s="150">
        <v>1139</v>
      </c>
      <c r="E74" s="131">
        <f t="shared" si="25"/>
        <v>1139</v>
      </c>
      <c r="F74" s="474">
        <f t="shared" si="24"/>
        <v>111.622</v>
      </c>
      <c r="G74" s="527" t="s">
        <v>94</v>
      </c>
    </row>
    <row r="75" spans="2:7" ht="30" customHeight="1">
      <c r="B75" s="86" t="s">
        <v>175</v>
      </c>
      <c r="C75" s="85"/>
      <c r="D75" s="150">
        <v>1374</v>
      </c>
      <c r="E75" s="132">
        <f t="shared" si="25"/>
        <v>1374</v>
      </c>
      <c r="F75" s="473">
        <f t="shared" si="24"/>
        <v>134.65200000000002</v>
      </c>
      <c r="G75" s="528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2022-02-24T07:36:38Z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