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1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EUR/"/>
    </mc:Choice>
  </mc:AlternateContent>
  <xr:revisionPtr revIDLastSave="0" documentId="13_ncr:1_{3186F258-6794-D14E-B2DD-267E50B5424A}" xr6:coauthVersionLast="47" xr6:coauthVersionMax="47" xr10:uidLastSave="{00000000-0000-0000-0000-000000000000}"/>
  <workbookProtection workbookAlgorithmName="SHA-512" workbookHashValue="Xb07t0USgf8srcbMrord74wOLX6hN1lL44nHlEamJxZME09o0FbeKv+VuD2RyQP/IObx9r49RiTkrZoWqaVHhA==" workbookSaltValue="wMi/GZUi5eITM2OoOUqu9g==" workbookSpinCount="100000" lockStructure="1"/>
  <bookViews>
    <workbookView xWindow="0" yWindow="500" windowWidth="51200" windowHeight="28300" tabRatio="530" xr2:uid="{00000000-000D-0000-FFFF-FFFF00000000}"/>
  </bookViews>
  <sheets>
    <sheet name="SEK - Safesprings tjänster 2024" sheetId="3" r:id="rId1"/>
    <sheet name="NOK - Safespring tjenester 2024" sheetId="12" r:id="rId2"/>
    <sheet name="EUR - Safespring services 2021" sheetId="8" state="hidden" r:id="rId3"/>
    <sheet name="NOK - Safesprings tjeneste 2021" sheetId="10" state="hidden" r:id="rId4"/>
    <sheet name="SUNET SEK - priser 2020" sheetId="9" state="hidden" r:id="rId5"/>
    <sheet name="DKK - Safespring-tjenester 2024" sheetId="11" r:id="rId6"/>
    <sheet name="EUR - Safespring services 2024" sheetId="13" r:id="rId7"/>
    <sheet name="Data" sheetId="4" state="hidden" r:id="rId8"/>
  </sheets>
  <definedNames>
    <definedName name="Antal_instanser" localSheetId="5">'DKK - Safespring-tjenester 2024'!#REF!</definedName>
    <definedName name="Antal_instanser" localSheetId="6">'EUR - Safespring services 2024'!#REF!</definedName>
    <definedName name="Antal_instanser" localSheetId="1">'NOK - Safespring tjenester 2024'!#REF!</definedName>
    <definedName name="Antal_instanser">'SEK - Safesprings tjänster 2024'!#REF!</definedName>
    <definedName name="b2_list_Antal_instanser" localSheetId="5">'DKK - Safespring-tjenester 2024'!$C$47:$C$56</definedName>
    <definedName name="b2_list_Antal_instanser" localSheetId="6">'EUR - Safespring services 2024'!$C$47:$C$56</definedName>
    <definedName name="b2_list_Antal_instanser" localSheetId="1">'NOK - Safespring tjenester 2024'!$C$47:$C$56</definedName>
    <definedName name="b2_list_Antal_instanser">'SEK - Safesprings tjänster 2024'!$C$47:$C$56</definedName>
    <definedName name="b2_list_ram" localSheetId="5">'DKK - Safespring-tjenester 2024'!$D$47:$D$56</definedName>
    <definedName name="b2_list_ram" localSheetId="6">'EUR - Safespring services 2024'!$D$47:$D$56</definedName>
    <definedName name="b2_list_ram" localSheetId="1">'NOK - Safespring tjenester 2024'!$D$47:$D$56</definedName>
    <definedName name="b2_list_ram">'SEK - Safesprings tjänster 2024'!$D$47:$D$56</definedName>
    <definedName name="b2_list_vCPU" localSheetId="5">'DKK - Safespring-tjenester 2024'!$I$47:$I$56</definedName>
    <definedName name="b2_list_vCPU" localSheetId="6">'EUR - Safespring services 2024'!$I$47:$I$56</definedName>
    <definedName name="b2_list_vCPU" localSheetId="1">'NOK - Safespring tjenester 2024'!$I$47:$I$56</definedName>
    <definedName name="b2_list_vCPU">'SEK - Safesprings tjänster 2024'!$I$47:$I$56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5">'DKK - Safespring-tjenester 2024'!#REF!</definedName>
    <definedName name="Disk__GB" localSheetId="6">'EUR - Safespring services 2024'!#REF!</definedName>
    <definedName name="Disk__GB" localSheetId="1">'NOK - Safespring tjenester 2024'!#REF!</definedName>
    <definedName name="Disk__GB">'SEK - Safesprings tjänster 2024'!#REF!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5">'DKK - Safespring-tjenester 2024'!#REF!</definedName>
    <definedName name="list_Antal_instanser" localSheetId="6">'EUR - Safespring services 2024'!#REF!</definedName>
    <definedName name="list_Antal_instanser" localSheetId="1">'NOK - Safespring tjenester 2024'!#REF!</definedName>
    <definedName name="list_Antal_instanser">'SEK - Safesprings tjänster 2024'!#REF!</definedName>
    <definedName name="list_Disk__GB" localSheetId="5">'DKK - Safespring-tjenester 2024'!#REF!</definedName>
    <definedName name="list_Disk__GB" localSheetId="6">'EUR - Safespring services 2024'!#REF!</definedName>
    <definedName name="list_Disk__GB" localSheetId="1">'NOK - Safespring tjenester 2024'!#REF!</definedName>
    <definedName name="list_Disk__GB">'SEK - Safesprings tjänster 2024'!#REF!</definedName>
    <definedName name="list_RAM__GB" localSheetId="5">'DKK - Safespring-tjenester 2024'!#REF!</definedName>
    <definedName name="list_RAM__GB" localSheetId="6">'EUR - Safespring services 2024'!#REF!</definedName>
    <definedName name="list_RAM__GB" localSheetId="1">'NOK - Safespring tjenester 2024'!#REF!</definedName>
    <definedName name="list_RAM__GB">'SEK - Safesprings tjänster 2024'!#REF!</definedName>
    <definedName name="list_vCPU" localSheetId="5">'DKK - Safespring-tjenester 2024'!#REF!</definedName>
    <definedName name="list_vCPU" localSheetId="6">'EUR - Safespring services 2024'!#REF!</definedName>
    <definedName name="list_vCPU" localSheetId="1">'NOK - Safespring tjenester 2024'!#REF!</definedName>
    <definedName name="list_vCPU">'SEK - Safesprings tjänster 2024'!#REF!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Data!$F$64</definedName>
    <definedName name="PAAS_man.elasticsearch_SEK">Data!$E$64</definedName>
    <definedName name="PAAS_man.kubernetes_EUR">Data!$F$62</definedName>
    <definedName name="PAAS_man.kubernetes_SEK">Data!$E$62</definedName>
    <definedName name="PAAS_man.kubernetes24_EUR">Data!$F$62</definedName>
    <definedName name="PAAS_man.kubernetes24_SEK">Data!$E$62</definedName>
    <definedName name="PAAS_man.kubernetes8_EUR">Data!$F$63</definedName>
    <definedName name="PAAS_man.kubernetes8_SEK">Data!$E$63</definedName>
    <definedName name="PAAS_man.mariadb_EUR">Data!$F$67</definedName>
    <definedName name="PAAS_man.mariadb_SEK">Data!$E$67</definedName>
    <definedName name="PAAS_man.nats_EUR">Data!$F$66</definedName>
    <definedName name="PAAS_man.nats_SEK">Data!$E$66</definedName>
    <definedName name="PAAS_man.postgres.sql_EUR">Data!$F$63</definedName>
    <definedName name="PAAS_man.postgres.sql_SEK">Data!$E$63</definedName>
    <definedName name="PAAS_man.redis_EUR">Data!$F$65</definedName>
    <definedName name="PAAS_man.redis_SEK">Data!$E$65</definedName>
    <definedName name="PAAS_openshift_EUR">Data!$F$68</definedName>
    <definedName name="PAAS_openshift_SEK">Data!$E$68</definedName>
    <definedName name="PRICE_total">'EUR - Safespring services 2021'!#REF!</definedName>
    <definedName name="PS_cloudarch.jun_EUR">Data!$F$73</definedName>
    <definedName name="PS_cloudarch.jun_SEK">Data!$E$73</definedName>
    <definedName name="PS_cloudarch.sen_EUR">Data!$F$74</definedName>
    <definedName name="PS_cloudarch.sen_SEK">Data!$E$74</definedName>
    <definedName name="PS_consult.jun_EUR">Data!$F$71</definedName>
    <definedName name="PS_consult.jun_SEK">Data!$E$71</definedName>
    <definedName name="PS_consult.sen_EUR">Data!$F$72</definedName>
    <definedName name="PS_consult.sen_SEK">Data!$E$72</definedName>
    <definedName name="PS_pm.jun_EUR">Data!$F$75</definedName>
    <definedName name="PS_pm.jun_SEK">Data!$E$75</definedName>
    <definedName name="PS_pm.sen_EUR">Data!$F$76</definedName>
    <definedName name="PS_pm.sen_SEK">Data!$E$76</definedName>
    <definedName name="RAM__GB" localSheetId="5">'DKK - Safespring-tjenester 2024'!#REF!</definedName>
    <definedName name="RAM__GB" localSheetId="6">'EUR - Safespring services 2024'!#REF!</definedName>
    <definedName name="RAM__GB" localSheetId="1">'NOK - Safespring tjenester 2024'!#REF!</definedName>
    <definedName name="RAM__GB">'SEK - Safesprings tjänster 2024'!#REF!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Data!$F$59</definedName>
    <definedName name="SW_backup.ninja_SEK">Data!$E$59</definedName>
    <definedName name="SW_cluster.control_EUR">Data!$F$58</definedName>
    <definedName name="SW_cluster.control_SEK">Data!$E$58</definedName>
    <definedName name="SW_ms.sql.ser_EUR">Data!$F$53</definedName>
    <definedName name="SW_ms.sql.ser_SEK">Data!$E$53</definedName>
    <definedName name="SW_ms.sql.ser.ent_EUR">Data!$F$54</definedName>
    <definedName name="SW_ms.sql.ser.ent_SEK">Data!$E$54</definedName>
    <definedName name="SW_nextcloud_EUR">Data!$F$56</definedName>
    <definedName name="SW_nextcloud_SEK">Data!$E$56</definedName>
    <definedName name="SW_stackn_EUR">Data!$F$55</definedName>
    <definedName name="SW_stackn_SEK">Data!$E$55</definedName>
    <definedName name="SW_suse_EUR">Data!$F$57</definedName>
    <definedName name="SW_suse_SEK">Data!$E$57</definedName>
    <definedName name="SW_suse_SEUR">Data!$F$57</definedName>
    <definedName name="SW_win.ser.201X_EUR">Data!$F$52</definedName>
    <definedName name="SW_win.ser.201X_SEK">Data!$E$52</definedName>
    <definedName name="_xlnm.Print_Area" localSheetId="5">'DKK - Safespring-tjenester 2024'!$A$3:$L$241</definedName>
    <definedName name="_xlnm.Print_Area" localSheetId="2">'EUR - Safespring services 2021'!$I$43:$I$65</definedName>
    <definedName name="_xlnm.Print_Area" localSheetId="6">'EUR - Safespring services 2024'!$A$3:$L$241</definedName>
    <definedName name="_xlnm.Print_Area" localSheetId="1">'NOK - Safespring tjenester 2024'!$A$1:$L$242</definedName>
    <definedName name="_xlnm.Print_Area" localSheetId="3">'NOK - Safesprings tjeneste 2021'!$A$1:$N$305</definedName>
    <definedName name="_xlnm.Print_Area" localSheetId="0">'SEK - Safesprings tjänster 2024'!$A$1:$L$241</definedName>
    <definedName name="_xlnm.Print_Area" localSheetId="4">'SUNET SEK - priser 2020'!$A$1:$N$246</definedName>
    <definedName name="vCPU" localSheetId="5">'DKK - Safespring-tjenester 2024'!#REF!</definedName>
    <definedName name="vCPU" localSheetId="6">'EUR - Safespring services 2024'!#REF!</definedName>
    <definedName name="vCPU" localSheetId="1">'NOK - Safespring tjenester 2024'!#REF!</definedName>
    <definedName name="vCPU">'SEK - Safesprings tjänster 2024'!#REF!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3" i="13" l="1"/>
  <c r="K174" i="13"/>
  <c r="K175" i="13"/>
  <c r="K176" i="13"/>
  <c r="K177" i="13"/>
  <c r="K173" i="3"/>
  <c r="K174" i="3"/>
  <c r="K175" i="3"/>
  <c r="K176" i="3"/>
  <c r="C229" i="3" a="1"/>
  <c r="C229" i="3" s="1"/>
  <c r="K172" i="13"/>
  <c r="K171" i="13"/>
  <c r="K164" i="13"/>
  <c r="K163" i="13"/>
  <c r="K151" i="13"/>
  <c r="K134" i="13"/>
  <c r="G134" i="13"/>
  <c r="G133" i="13"/>
  <c r="K133" i="13" s="1"/>
  <c r="I121" i="13"/>
  <c r="K120" i="13"/>
  <c r="K119" i="13"/>
  <c r="D106" i="13"/>
  <c r="I84" i="13"/>
  <c r="I75" i="13"/>
  <c r="E75" i="13" a="1"/>
  <c r="E75" i="13" s="1"/>
  <c r="D75" i="13" a="1"/>
  <c r="D75" i="13" s="1"/>
  <c r="C75" i="13" a="1"/>
  <c r="C75" i="13" s="1"/>
  <c r="I66" i="13"/>
  <c r="F66" i="13" a="1"/>
  <c r="F66" i="13" s="1"/>
  <c r="E66" i="13" a="1"/>
  <c r="E66" i="13" s="1"/>
  <c r="D66" i="13" a="1"/>
  <c r="D66" i="13" s="1"/>
  <c r="C66" i="13" a="1"/>
  <c r="C66" i="13" s="1"/>
  <c r="I57" i="13"/>
  <c r="E56" i="13"/>
  <c r="D56" i="13"/>
  <c r="C56" i="13"/>
  <c r="B56" i="13"/>
  <c r="E55" i="13"/>
  <c r="D55" i="13"/>
  <c r="C55" i="13"/>
  <c r="B55" i="13"/>
  <c r="E54" i="13"/>
  <c r="D54" i="13"/>
  <c r="C54" i="13"/>
  <c r="B54" i="13"/>
  <c r="E53" i="13"/>
  <c r="D53" i="13"/>
  <c r="C53" i="13"/>
  <c r="B53" i="13"/>
  <c r="E52" i="13"/>
  <c r="D52" i="13"/>
  <c r="C52" i="13"/>
  <c r="B52" i="13"/>
  <c r="E51" i="13"/>
  <c r="D51" i="13"/>
  <c r="C51" i="13"/>
  <c r="B51" i="13"/>
  <c r="E50" i="13"/>
  <c r="D50" i="13"/>
  <c r="C50" i="13"/>
  <c r="B50" i="13"/>
  <c r="E49" i="13"/>
  <c r="D49" i="13"/>
  <c r="C49" i="13"/>
  <c r="B49" i="13"/>
  <c r="E48" i="13"/>
  <c r="D48" i="13"/>
  <c r="C48" i="13"/>
  <c r="B48" i="13"/>
  <c r="E47" i="13"/>
  <c r="D47" i="13"/>
  <c r="C47" i="13"/>
  <c r="B47" i="13"/>
  <c r="I40" i="13"/>
  <c r="E39" i="13"/>
  <c r="D39" i="13"/>
  <c r="C39" i="13"/>
  <c r="B39" i="13"/>
  <c r="E38" i="13"/>
  <c r="D38" i="13"/>
  <c r="C38" i="13"/>
  <c r="B38" i="13"/>
  <c r="E37" i="13"/>
  <c r="D37" i="13"/>
  <c r="C37" i="13"/>
  <c r="B37" i="13"/>
  <c r="E36" i="13"/>
  <c r="D36" i="13"/>
  <c r="C36" i="13"/>
  <c r="B36" i="13"/>
  <c r="E35" i="13"/>
  <c r="D35" i="13"/>
  <c r="C35" i="13"/>
  <c r="B35" i="13"/>
  <c r="E34" i="13"/>
  <c r="D34" i="13"/>
  <c r="C34" i="13"/>
  <c r="B34" i="13"/>
  <c r="E33" i="13"/>
  <c r="D33" i="13"/>
  <c r="C33" i="13"/>
  <c r="B33" i="13"/>
  <c r="E32" i="13"/>
  <c r="D32" i="13"/>
  <c r="C32" i="13"/>
  <c r="B32" i="13"/>
  <c r="E31" i="13"/>
  <c r="D31" i="13"/>
  <c r="C31" i="13"/>
  <c r="B31" i="13"/>
  <c r="E30" i="13"/>
  <c r="D30" i="13"/>
  <c r="C30" i="13"/>
  <c r="B30" i="13"/>
  <c r="E29" i="13"/>
  <c r="D29" i="13"/>
  <c r="C29" i="13"/>
  <c r="B29" i="13"/>
  <c r="E28" i="13"/>
  <c r="D28" i="13"/>
  <c r="C28" i="13"/>
  <c r="B28" i="13"/>
  <c r="E27" i="13"/>
  <c r="D27" i="13"/>
  <c r="C27" i="13"/>
  <c r="B27" i="13"/>
  <c r="E26" i="13"/>
  <c r="D26" i="13"/>
  <c r="C26" i="13"/>
  <c r="B26" i="13"/>
  <c r="E54" i="4"/>
  <c r="K162" i="3" s="1"/>
  <c r="F54" i="4"/>
  <c r="K162" i="11" s="1"/>
  <c r="I57" i="12"/>
  <c r="I40" i="12"/>
  <c r="I57" i="3"/>
  <c r="D57" i="3" a="1"/>
  <c r="D57" i="3" s="1"/>
  <c r="C57" i="3" a="1"/>
  <c r="C57" i="3" s="1"/>
  <c r="I40" i="3"/>
  <c r="E40" i="3" a="1"/>
  <c r="E40" i="3" s="1"/>
  <c r="D40" i="3" a="1"/>
  <c r="D40" i="3" s="1"/>
  <c r="C40" i="3" a="1"/>
  <c r="C40" i="3" s="1"/>
  <c r="I40" i="11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B36" i="11"/>
  <c r="C36" i="11"/>
  <c r="D36" i="11"/>
  <c r="E36" i="11"/>
  <c r="B37" i="11"/>
  <c r="C37" i="11"/>
  <c r="D37" i="11"/>
  <c r="E37" i="11"/>
  <c r="B38" i="11"/>
  <c r="C38" i="11"/>
  <c r="D38" i="11"/>
  <c r="E38" i="11"/>
  <c r="B39" i="11"/>
  <c r="C39" i="11"/>
  <c r="D39" i="11"/>
  <c r="E39" i="11"/>
  <c r="B27" i="11"/>
  <c r="C27" i="11"/>
  <c r="D27" i="11"/>
  <c r="E27" i="11"/>
  <c r="B28" i="11"/>
  <c r="C28" i="11"/>
  <c r="D28" i="11"/>
  <c r="E28" i="11"/>
  <c r="B27" i="12"/>
  <c r="C27" i="12"/>
  <c r="D27" i="12"/>
  <c r="E27" i="12"/>
  <c r="B28" i="12"/>
  <c r="C28" i="12"/>
  <c r="D28" i="12"/>
  <c r="E28" i="12"/>
  <c r="B26" i="11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56" i="12"/>
  <c r="C56" i="12"/>
  <c r="D56" i="12"/>
  <c r="E56" i="12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56" i="11"/>
  <c r="C56" i="11"/>
  <c r="D56" i="11"/>
  <c r="E56" i="11"/>
  <c r="B26" i="12"/>
  <c r="C26" i="12"/>
  <c r="C230" i="12" s="1" a="1"/>
  <c r="C230" i="12" s="1"/>
  <c r="D26" i="12"/>
  <c r="E26" i="12"/>
  <c r="C26" i="11"/>
  <c r="D26" i="11"/>
  <c r="E26" i="11"/>
  <c r="C229" i="13" l="1" a="1"/>
  <c r="C229" i="13" s="1"/>
  <c r="E40" i="13" a="1"/>
  <c r="E40" i="13" s="1"/>
  <c r="C40" i="13" a="1"/>
  <c r="C40" i="13" s="1"/>
  <c r="D40" i="13" a="1"/>
  <c r="D40" i="13" s="1"/>
  <c r="C57" i="13" a="1"/>
  <c r="C57" i="13" s="1"/>
  <c r="D57" i="13" a="1"/>
  <c r="D57" i="13" s="1"/>
  <c r="C229" i="11" a="1"/>
  <c r="C229" i="11" s="1"/>
  <c r="K135" i="13"/>
  <c r="K163" i="12"/>
  <c r="K162" i="13"/>
  <c r="E40" i="12" a="1"/>
  <c r="E40" i="12" s="1"/>
  <c r="D40" i="12" a="1"/>
  <c r="D40" i="12" s="1"/>
  <c r="C40" i="12" a="1"/>
  <c r="C40" i="12" s="1"/>
  <c r="D57" i="12" a="1"/>
  <c r="D57" i="12" s="1"/>
  <c r="E40" i="11" a="1"/>
  <c r="E40" i="11" s="1"/>
  <c r="D40" i="11" a="1"/>
  <c r="D40" i="11" s="1"/>
  <c r="C57" i="12" a="1"/>
  <c r="C57" i="12" s="1"/>
  <c r="C40" i="11" a="1"/>
  <c r="C40" i="11" s="1"/>
  <c r="K163" i="3"/>
  <c r="K164" i="3"/>
  <c r="K134" i="12" l="1"/>
  <c r="K133" i="12"/>
  <c r="I121" i="12"/>
  <c r="K120" i="12"/>
  <c r="K119" i="12"/>
  <c r="D106" i="12"/>
  <c r="I84" i="12"/>
  <c r="I75" i="12"/>
  <c r="E75" i="12" a="1"/>
  <c r="E75" i="12" s="1"/>
  <c r="D75" i="12" a="1"/>
  <c r="D75" i="12" s="1"/>
  <c r="C75" i="12" a="1"/>
  <c r="C75" i="12" s="1"/>
  <c r="I66" i="12"/>
  <c r="F66" i="12" a="1"/>
  <c r="F66" i="12" s="1"/>
  <c r="E66" i="12" a="1"/>
  <c r="E66" i="12" s="1"/>
  <c r="D66" i="12" a="1"/>
  <c r="D66" i="12" s="1"/>
  <c r="C66" i="12" a="1"/>
  <c r="C66" i="12" s="1"/>
  <c r="I57" i="11"/>
  <c r="C57" i="11" a="1"/>
  <c r="C57" i="11" s="1"/>
  <c r="D57" i="11" a="1"/>
  <c r="D57" i="11" s="1"/>
  <c r="K134" i="11"/>
  <c r="I121" i="11"/>
  <c r="K120" i="11"/>
  <c r="K119" i="11"/>
  <c r="D106" i="11"/>
  <c r="I84" i="11"/>
  <c r="I75" i="11"/>
  <c r="E75" i="11" a="1"/>
  <c r="E75" i="11" s="1"/>
  <c r="D75" i="11" a="1"/>
  <c r="D75" i="11" s="1"/>
  <c r="C75" i="11" a="1"/>
  <c r="C75" i="11" s="1"/>
  <c r="I66" i="11"/>
  <c r="F66" i="11" a="1"/>
  <c r="F66" i="11" s="1"/>
  <c r="E66" i="11" a="1"/>
  <c r="E66" i="11" s="1"/>
  <c r="D66" i="11" a="1"/>
  <c r="D66" i="11" s="1"/>
  <c r="C66" i="11" a="1"/>
  <c r="C66" i="11" s="1"/>
  <c r="K134" i="3"/>
  <c r="K119" i="3"/>
  <c r="K120" i="3"/>
  <c r="I121" i="3"/>
  <c r="D66" i="3" a="1"/>
  <c r="D66" i="3" s="1"/>
  <c r="E75" i="3" a="1"/>
  <c r="E75" i="3" s="1"/>
  <c r="D75" i="3" a="1"/>
  <c r="D75" i="3" s="1"/>
  <c r="C75" i="3" a="1"/>
  <c r="C75" i="3" s="1"/>
  <c r="E66" i="3" a="1"/>
  <c r="E66" i="3" s="1"/>
  <c r="F66" i="3" a="1"/>
  <c r="F66" i="3" s="1"/>
  <c r="C66" i="3" a="1"/>
  <c r="C66" i="3" s="1"/>
  <c r="D106" i="3"/>
  <c r="K133" i="3"/>
  <c r="K151" i="3"/>
  <c r="D117" i="8"/>
  <c r="D108" i="8"/>
  <c r="I84" i="3"/>
  <c r="E46" i="4"/>
  <c r="E32" i="4"/>
  <c r="F32" i="4"/>
  <c r="E33" i="4"/>
  <c r="F33" i="4"/>
  <c r="E34" i="4"/>
  <c r="E35" i="4"/>
  <c r="F35" i="4"/>
  <c r="G95" i="13" s="1"/>
  <c r="K95" i="13" s="1"/>
  <c r="E36" i="4"/>
  <c r="F36" i="4"/>
  <c r="D105" i="8" s="1"/>
  <c r="E37" i="4"/>
  <c r="F37" i="4"/>
  <c r="D106" i="8" s="1"/>
  <c r="E38" i="4"/>
  <c r="F38" i="4"/>
  <c r="D107" i="8" s="1"/>
  <c r="E39" i="4"/>
  <c r="G34" i="4" s="1"/>
  <c r="G39" i="4"/>
  <c r="F31" i="4"/>
  <c r="E31" i="4"/>
  <c r="F30" i="4"/>
  <c r="E30" i="4"/>
  <c r="G96" i="3" s="1"/>
  <c r="K96" i="3" s="1"/>
  <c r="D105" i="11" l="1"/>
  <c r="E101" i="11" s="1" a="1"/>
  <c r="E101" i="11" s="1"/>
  <c r="K101" i="11" s="1" a="1"/>
  <c r="K101" i="11" s="1"/>
  <c r="K107" i="11" s="1"/>
  <c r="D105" i="13"/>
  <c r="E101" i="13" s="1" a="1"/>
  <c r="E101" i="13" s="1"/>
  <c r="K101" i="13" s="1" a="1"/>
  <c r="K101" i="13" s="1"/>
  <c r="K107" i="13" s="1"/>
  <c r="D103" i="3"/>
  <c r="D103" i="13"/>
  <c r="D104" i="11"/>
  <c r="D104" i="13"/>
  <c r="G95" i="3"/>
  <c r="K95" i="3" s="1"/>
  <c r="K97" i="3" s="1"/>
  <c r="D102" i="13"/>
  <c r="G96" i="11"/>
  <c r="K96" i="11" s="1"/>
  <c r="G96" i="13"/>
  <c r="K96" i="13" s="1"/>
  <c r="C230" i="13" s="1"/>
  <c r="D114" i="8"/>
  <c r="C230" i="3"/>
  <c r="K135" i="12"/>
  <c r="D104" i="8"/>
  <c r="E103" i="8" s="1" a="1"/>
  <c r="E103" i="8" s="1"/>
  <c r="M103" i="8" s="1" a="1"/>
  <c r="M103" i="8" s="1"/>
  <c r="M109" i="8" s="1"/>
  <c r="G95" i="11"/>
  <c r="K95" i="11" s="1"/>
  <c r="G96" i="12"/>
  <c r="K96" i="12" s="1"/>
  <c r="D103" i="12"/>
  <c r="D102" i="3"/>
  <c r="D102" i="11"/>
  <c r="D104" i="12"/>
  <c r="G95" i="12"/>
  <c r="K95" i="12" s="1"/>
  <c r="D102" i="12"/>
  <c r="D105" i="12"/>
  <c r="E101" i="12" s="1" a="1"/>
  <c r="E101" i="12" s="1"/>
  <c r="K101" i="12" s="1" a="1"/>
  <c r="K101" i="12" s="1"/>
  <c r="K107" i="12" s="1"/>
  <c r="D105" i="3"/>
  <c r="E101" i="3" s="1" a="1"/>
  <c r="E101" i="3" s="1"/>
  <c r="K101" i="3" s="1" a="1"/>
  <c r="K101" i="3" s="1"/>
  <c r="K107" i="3" s="1"/>
  <c r="D103" i="11"/>
  <c r="D104" i="3"/>
  <c r="D115" i="8"/>
  <c r="D116" i="8"/>
  <c r="D113" i="8"/>
  <c r="E112" i="8" s="1" a="1"/>
  <c r="E112" i="8" s="1"/>
  <c r="M112" i="8" s="1" a="1"/>
  <c r="M112" i="8" s="1"/>
  <c r="M118" i="8" s="1"/>
  <c r="K135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6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K97" i="13" l="1"/>
  <c r="J230" i="13" s="1"/>
  <c r="C231" i="12"/>
  <c r="K97" i="11"/>
  <c r="J230" i="11" s="1"/>
  <c r="C230" i="11"/>
  <c r="L174" i="8"/>
  <c r="G134" i="11"/>
  <c r="L173" i="8"/>
  <c r="G133" i="11"/>
  <c r="K133" i="11" s="1"/>
  <c r="K135" i="11" s="1"/>
  <c r="K97" i="12"/>
  <c r="J231" i="12" s="1"/>
  <c r="K172" i="3"/>
  <c r="K171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G6" i="4"/>
  <c r="G7" i="4"/>
  <c r="G8" i="4"/>
  <c r="E3" i="4"/>
  <c r="F3" i="4"/>
  <c r="E5" i="4"/>
  <c r="F5" i="4"/>
  <c r="H42" i="9" l="1"/>
  <c r="H85" i="9"/>
  <c r="G85" i="9" s="1"/>
  <c r="H30" i="9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G38" i="13" l="1"/>
  <c r="G35" i="13"/>
  <c r="G27" i="13"/>
  <c r="G36" i="13"/>
  <c r="G34" i="13"/>
  <c r="G33" i="13"/>
  <c r="G29" i="13"/>
  <c r="G30" i="13"/>
  <c r="G39" i="13"/>
  <c r="G32" i="13"/>
  <c r="G31" i="13"/>
  <c r="G37" i="13"/>
  <c r="G28" i="13"/>
  <c r="G26" i="13"/>
  <c r="H63" i="13"/>
  <c r="H64" i="13"/>
  <c r="H62" i="13"/>
  <c r="H65" i="13"/>
  <c r="G48" i="13"/>
  <c r="G49" i="13"/>
  <c r="G56" i="13"/>
  <c r="G50" i="13"/>
  <c r="G47" i="13"/>
  <c r="G52" i="13"/>
  <c r="G53" i="13"/>
  <c r="G55" i="13"/>
  <c r="G51" i="13"/>
  <c r="G54" i="13"/>
  <c r="G38" i="11"/>
  <c r="G30" i="11"/>
  <c r="G27" i="11"/>
  <c r="G32" i="11"/>
  <c r="G36" i="11"/>
  <c r="G39" i="11"/>
  <c r="G33" i="11"/>
  <c r="G35" i="11"/>
  <c r="G29" i="11"/>
  <c r="G28" i="11"/>
  <c r="G37" i="11"/>
  <c r="G34" i="11"/>
  <c r="G31" i="11"/>
  <c r="G56" i="11"/>
  <c r="G55" i="11"/>
  <c r="G26" i="12"/>
  <c r="G38" i="12"/>
  <c r="G38" i="3"/>
  <c r="G39" i="12"/>
  <c r="G27" i="12"/>
  <c r="G37" i="12"/>
  <c r="G28" i="12"/>
  <c r="G37" i="3"/>
  <c r="G35" i="12"/>
  <c r="G33" i="12"/>
  <c r="G39" i="3"/>
  <c r="G29" i="12"/>
  <c r="G36" i="12"/>
  <c r="G32" i="12"/>
  <c r="G31" i="12"/>
  <c r="G30" i="12"/>
  <c r="G34" i="12"/>
  <c r="G52" i="12"/>
  <c r="G51" i="12"/>
  <c r="G56" i="3"/>
  <c r="G55" i="3"/>
  <c r="G54" i="11"/>
  <c r="G53" i="11"/>
  <c r="G49" i="11"/>
  <c r="G50" i="11"/>
  <c r="G47" i="11"/>
  <c r="G48" i="11"/>
  <c r="G52" i="11"/>
  <c r="G51" i="11"/>
  <c r="G50" i="12"/>
  <c r="G47" i="12"/>
  <c r="G49" i="12"/>
  <c r="G56" i="12"/>
  <c r="G55" i="12"/>
  <c r="G48" i="12"/>
  <c r="G53" i="12"/>
  <c r="G54" i="12"/>
  <c r="G26" i="11"/>
  <c r="H64" i="12"/>
  <c r="H62" i="12"/>
  <c r="H63" i="12"/>
  <c r="H65" i="12"/>
  <c r="G51" i="3"/>
  <c r="G52" i="3"/>
  <c r="G48" i="3"/>
  <c r="G50" i="3"/>
  <c r="G53" i="3"/>
  <c r="G54" i="3"/>
  <c r="G47" i="3"/>
  <c r="G49" i="3"/>
  <c r="H63" i="11"/>
  <c r="H62" i="11"/>
  <c r="H65" i="11"/>
  <c r="H64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K54" i="13" l="1"/>
  <c r="F54" i="13"/>
  <c r="K26" i="13"/>
  <c r="F26" i="13"/>
  <c r="K28" i="13"/>
  <c r="F28" i="13"/>
  <c r="F55" i="13"/>
  <c r="K55" i="13"/>
  <c r="F37" i="13"/>
  <c r="K37" i="13"/>
  <c r="F53" i="13"/>
  <c r="K53" i="13"/>
  <c r="F31" i="13"/>
  <c r="K31" i="13"/>
  <c r="K32" i="13"/>
  <c r="F32" i="13"/>
  <c r="F47" i="13"/>
  <c r="K47" i="13"/>
  <c r="F39" i="13"/>
  <c r="K39" i="13"/>
  <c r="K50" i="13"/>
  <c r="F50" i="13"/>
  <c r="K30" i="13"/>
  <c r="F30" i="13"/>
  <c r="F29" i="13"/>
  <c r="K29" i="13"/>
  <c r="F49" i="13"/>
  <c r="K49" i="13"/>
  <c r="F33" i="13"/>
  <c r="K33" i="13"/>
  <c r="K56" i="13"/>
  <c r="F56" i="13"/>
  <c r="K48" i="13"/>
  <c r="F48" i="13"/>
  <c r="K34" i="13"/>
  <c r="F34" i="13"/>
  <c r="K36" i="13"/>
  <c r="F36" i="13"/>
  <c r="K65" i="13"/>
  <c r="G65" i="13"/>
  <c r="K62" i="13"/>
  <c r="G62" i="13"/>
  <c r="F27" i="13"/>
  <c r="K27" i="13"/>
  <c r="F51" i="13"/>
  <c r="K51" i="13"/>
  <c r="F52" i="13"/>
  <c r="K52" i="13"/>
  <c r="G64" i="13"/>
  <c r="K64" i="13"/>
  <c r="F35" i="13"/>
  <c r="K35" i="13"/>
  <c r="K63" i="13"/>
  <c r="G63" i="13"/>
  <c r="K38" i="13"/>
  <c r="F38" i="13"/>
  <c r="K56" i="11"/>
  <c r="F56" i="11"/>
  <c r="F31" i="11"/>
  <c r="K31" i="11"/>
  <c r="F34" i="11"/>
  <c r="K34" i="11"/>
  <c r="K37" i="11"/>
  <c r="F37" i="11"/>
  <c r="F28" i="11"/>
  <c r="K28" i="11"/>
  <c r="F29" i="12"/>
  <c r="K29" i="12"/>
  <c r="F35" i="12"/>
  <c r="K35" i="12"/>
  <c r="K37" i="3"/>
  <c r="F37" i="3"/>
  <c r="F29" i="11"/>
  <c r="K29" i="11"/>
  <c r="K39" i="3"/>
  <c r="F39" i="3"/>
  <c r="F55" i="3"/>
  <c r="K55" i="3"/>
  <c r="F28" i="12"/>
  <c r="K28" i="12"/>
  <c r="F35" i="11"/>
  <c r="K35" i="11"/>
  <c r="K56" i="3"/>
  <c r="F56" i="3"/>
  <c r="F37" i="12"/>
  <c r="K37" i="12"/>
  <c r="F33" i="11"/>
  <c r="K33" i="11"/>
  <c r="F27" i="12"/>
  <c r="K27" i="12"/>
  <c r="F33" i="12"/>
  <c r="K33" i="12"/>
  <c r="F39" i="11"/>
  <c r="K39" i="11"/>
  <c r="K52" i="12"/>
  <c r="F52" i="12"/>
  <c r="F36" i="11"/>
  <c r="K36" i="11"/>
  <c r="F34" i="12"/>
  <c r="K34" i="12"/>
  <c r="F38" i="3"/>
  <c r="K38" i="3"/>
  <c r="K32" i="11"/>
  <c r="F32" i="11"/>
  <c r="F36" i="12"/>
  <c r="K36" i="12"/>
  <c r="F30" i="12"/>
  <c r="K30" i="12"/>
  <c r="K38" i="12"/>
  <c r="F38" i="12"/>
  <c r="F27" i="11"/>
  <c r="K27" i="11"/>
  <c r="F31" i="12"/>
  <c r="K31" i="12"/>
  <c r="F30" i="11"/>
  <c r="K30" i="11"/>
  <c r="K51" i="12"/>
  <c r="F51" i="12"/>
  <c r="K39" i="12"/>
  <c r="F39" i="12"/>
  <c r="F32" i="12"/>
  <c r="K32" i="12"/>
  <c r="K55" i="11"/>
  <c r="F55" i="11"/>
  <c r="K38" i="11"/>
  <c r="F38" i="11"/>
  <c r="F48" i="12"/>
  <c r="K48" i="12"/>
  <c r="G65" i="12"/>
  <c r="K65" i="12"/>
  <c r="K56" i="12"/>
  <c r="F56" i="12"/>
  <c r="F55" i="12"/>
  <c r="K55" i="12"/>
  <c r="G62" i="12"/>
  <c r="K62" i="12"/>
  <c r="K49" i="12"/>
  <c r="F49" i="12"/>
  <c r="K26" i="12"/>
  <c r="F26" i="12"/>
  <c r="K54" i="12"/>
  <c r="F54" i="12"/>
  <c r="K50" i="12"/>
  <c r="F50" i="12"/>
  <c r="K63" i="12"/>
  <c r="G63" i="12"/>
  <c r="K47" i="12"/>
  <c r="F47" i="12"/>
  <c r="F53" i="12"/>
  <c r="K53" i="12"/>
  <c r="G64" i="12"/>
  <c r="K64" i="12"/>
  <c r="G64" i="11"/>
  <c r="K64" i="11"/>
  <c r="K52" i="3"/>
  <c r="F52" i="3"/>
  <c r="K48" i="11"/>
  <c r="F48" i="11"/>
  <c r="K62" i="11"/>
  <c r="G62" i="11"/>
  <c r="K52" i="11"/>
  <c r="F52" i="11"/>
  <c r="K53" i="3"/>
  <c r="F53" i="3"/>
  <c r="K49" i="3"/>
  <c r="F49" i="3"/>
  <c r="K63" i="11"/>
  <c r="G63" i="11"/>
  <c r="K47" i="3"/>
  <c r="F47" i="3"/>
  <c r="K50" i="3"/>
  <c r="F50" i="3"/>
  <c r="F53" i="11"/>
  <c r="K53" i="11"/>
  <c r="K47" i="11"/>
  <c r="F47" i="11"/>
  <c r="G65" i="11"/>
  <c r="K65" i="11"/>
  <c r="F54" i="11"/>
  <c r="K54" i="11"/>
  <c r="F48" i="3"/>
  <c r="K48" i="3"/>
  <c r="K51" i="3"/>
  <c r="F51" i="3"/>
  <c r="K26" i="11"/>
  <c r="F26" i="11"/>
  <c r="K51" i="11"/>
  <c r="F51" i="11"/>
  <c r="K54" i="3"/>
  <c r="F54" i="3"/>
  <c r="F49" i="11"/>
  <c r="K49" i="11"/>
  <c r="F50" i="11"/>
  <c r="K50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66" i="13" l="1"/>
  <c r="K57" i="13"/>
  <c r="K40" i="13"/>
  <c r="K40" i="12"/>
  <c r="K40" i="11"/>
  <c r="K57" i="3"/>
  <c r="K66" i="12"/>
  <c r="K57" i="12"/>
  <c r="K57" i="11"/>
  <c r="K66" i="11"/>
  <c r="K67" i="10"/>
  <c r="L76" i="10"/>
  <c r="K38" i="10"/>
  <c r="H133" i="8"/>
  <c r="J84" i="8"/>
  <c r="I84" i="8"/>
  <c r="J76" i="8"/>
  <c r="I76" i="8"/>
  <c r="I75" i="3"/>
  <c r="F72" i="4"/>
  <c r="K199" i="13" s="1"/>
  <c r="F73" i="4"/>
  <c r="K200" i="13" s="1"/>
  <c r="F74" i="4"/>
  <c r="K201" i="13" s="1"/>
  <c r="F75" i="4"/>
  <c r="K202" i="13" s="1"/>
  <c r="F76" i="4"/>
  <c r="K203" i="13" s="1"/>
  <c r="F71" i="4"/>
  <c r="K198" i="13" s="1"/>
  <c r="F45" i="4"/>
  <c r="F42" i="4"/>
  <c r="L167" i="8"/>
  <c r="E71" i="4"/>
  <c r="K199" i="12" s="1"/>
  <c r="E76" i="4"/>
  <c r="K204" i="12" s="1"/>
  <c r="E75" i="4"/>
  <c r="K203" i="12" s="1"/>
  <c r="E74" i="4"/>
  <c r="K202" i="12" s="1"/>
  <c r="E73" i="4"/>
  <c r="K201" i="12" s="1"/>
  <c r="E72" i="4"/>
  <c r="K200" i="12" s="1"/>
  <c r="K147" i="11" l="1"/>
  <c r="K147" i="13"/>
  <c r="K150" i="11"/>
  <c r="K150" i="13"/>
  <c r="L198" i="8"/>
  <c r="K199" i="11"/>
  <c r="L202" i="8"/>
  <c r="K203" i="11"/>
  <c r="L201" i="8"/>
  <c r="K202" i="11"/>
  <c r="L197" i="8"/>
  <c r="K198" i="11"/>
  <c r="L200" i="8"/>
  <c r="K201" i="11"/>
  <c r="L199" i="8"/>
  <c r="K200" i="11"/>
  <c r="M191" i="10"/>
  <c r="M196" i="10"/>
  <c r="M192" i="10"/>
  <c r="K202" i="3"/>
  <c r="M195" i="10"/>
  <c r="K201" i="3"/>
  <c r="M194" i="10"/>
  <c r="K200" i="3"/>
  <c r="M193" i="10"/>
  <c r="K198" i="3"/>
  <c r="K199" i="3"/>
  <c r="K203" i="3"/>
  <c r="L166" i="8"/>
  <c r="L165" i="8"/>
  <c r="M131" i="8"/>
  <c r="F25" i="4"/>
  <c r="E120" i="13" s="1"/>
  <c r="E25" i="4"/>
  <c r="F24" i="4"/>
  <c r="E119" i="13" s="1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G73" i="13" s="1"/>
  <c r="F27" i="4"/>
  <c r="G120" i="13" s="1"/>
  <c r="E27" i="4"/>
  <c r="G120" i="12" s="1"/>
  <c r="F73" i="13" l="1"/>
  <c r="K73" i="13"/>
  <c r="D131" i="8"/>
  <c r="E119" i="11"/>
  <c r="F132" i="8"/>
  <c r="G120" i="11"/>
  <c r="G73" i="11"/>
  <c r="F73" i="11" s="1"/>
  <c r="G73" i="12"/>
  <c r="D132" i="8"/>
  <c r="E120" i="11"/>
  <c r="F126" i="10"/>
  <c r="G120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3" i="3"/>
  <c r="D16" i="4"/>
  <c r="F16" i="4" s="1"/>
  <c r="H83" i="8" s="1"/>
  <c r="K9" i="4"/>
  <c r="K10" i="4"/>
  <c r="L178" i="8"/>
  <c r="L177" i="8"/>
  <c r="L176" i="8"/>
  <c r="L175" i="8"/>
  <c r="M158" i="10"/>
  <c r="L164" i="8"/>
  <c r="E59" i="4"/>
  <c r="F59" i="4"/>
  <c r="F26" i="4"/>
  <c r="G119" i="13" s="1"/>
  <c r="E26" i="4"/>
  <c r="G119" i="12" s="1"/>
  <c r="F23" i="4"/>
  <c r="G118" i="13" s="1"/>
  <c r="K118" i="13" s="1"/>
  <c r="K121" i="13" s="1"/>
  <c r="J231" i="13" s="1"/>
  <c r="E23" i="4"/>
  <c r="G118" i="12" s="1"/>
  <c r="K118" i="12" s="1"/>
  <c r="K121" i="12" s="1"/>
  <c r="J232" i="12" s="1"/>
  <c r="F49" i="4"/>
  <c r="L157" i="8" s="1"/>
  <c r="E49" i="4"/>
  <c r="M151" i="10" s="1"/>
  <c r="F47" i="4"/>
  <c r="K152" i="13" s="1"/>
  <c r="E47" i="4"/>
  <c r="K153" i="12" s="1"/>
  <c r="L155" i="8"/>
  <c r="L154" i="8"/>
  <c r="E45" i="4"/>
  <c r="K151" i="12" s="1"/>
  <c r="F44" i="4"/>
  <c r="K149" i="13" s="1"/>
  <c r="E44" i="4"/>
  <c r="K150" i="12" s="1"/>
  <c r="F43" i="4"/>
  <c r="K148" i="13" s="1"/>
  <c r="E43" i="4"/>
  <c r="K149" i="12" s="1"/>
  <c r="L151" i="8"/>
  <c r="E42" i="4"/>
  <c r="K148" i="12" s="1"/>
  <c r="L153" i="8" l="1"/>
  <c r="K149" i="11"/>
  <c r="F73" i="12"/>
  <c r="K73" i="12"/>
  <c r="F131" i="8"/>
  <c r="G119" i="11"/>
  <c r="K73" i="11"/>
  <c r="L168" i="8"/>
  <c r="L156" i="8"/>
  <c r="K152" i="11"/>
  <c r="F130" i="8"/>
  <c r="M130" i="8" s="1"/>
  <c r="G118" i="11"/>
  <c r="K118" i="11" s="1"/>
  <c r="K121" i="11" s="1"/>
  <c r="J231" i="11" s="1"/>
  <c r="L152" i="8"/>
  <c r="K148" i="11"/>
  <c r="M150" i="10"/>
  <c r="M162" i="10"/>
  <c r="G118" i="3"/>
  <c r="K118" i="3" s="1"/>
  <c r="G119" i="3"/>
  <c r="M146" i="10"/>
  <c r="M148" i="10"/>
  <c r="M145" i="10"/>
  <c r="M147" i="10"/>
  <c r="J230" i="3"/>
  <c r="L82" i="10"/>
  <c r="M149" i="10"/>
  <c r="E14" i="4"/>
  <c r="G72" i="13" s="1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7" i="3"/>
  <c r="K149" i="3"/>
  <c r="K148" i="3"/>
  <c r="K150" i="3"/>
  <c r="K152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4" i="13" s="1"/>
  <c r="K72" i="13" l="1"/>
  <c r="F72" i="13"/>
  <c r="K74" i="13"/>
  <c r="F74" i="13"/>
  <c r="K40" i="3"/>
  <c r="G72" i="11"/>
  <c r="F72" i="11" s="1"/>
  <c r="G72" i="12"/>
  <c r="G74" i="11"/>
  <c r="K74" i="11" s="1"/>
  <c r="G74" i="12"/>
  <c r="G72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4" i="3"/>
  <c r="H93" i="9"/>
  <c r="M36" i="9"/>
  <c r="K67" i="8"/>
  <c r="M133" i="8"/>
  <c r="L229" i="8" s="1"/>
  <c r="L228" i="8"/>
  <c r="G83" i="8"/>
  <c r="L83" i="8"/>
  <c r="L84" i="8" s="1"/>
  <c r="F19" i="4"/>
  <c r="F20" i="4"/>
  <c r="G82" i="13" s="1"/>
  <c r="E20" i="4"/>
  <c r="G82" i="12" s="1"/>
  <c r="E19" i="4"/>
  <c r="E52" i="4"/>
  <c r="K161" i="12" s="1"/>
  <c r="F52" i="4"/>
  <c r="E53" i="4"/>
  <c r="K162" i="12" s="1"/>
  <c r="F53" i="4"/>
  <c r="K82" i="13" l="1"/>
  <c r="F82" i="13"/>
  <c r="G81" i="13"/>
  <c r="G83" i="13"/>
  <c r="K161" i="11"/>
  <c r="K161" i="13"/>
  <c r="K160" i="11"/>
  <c r="K160" i="13"/>
  <c r="K75" i="13"/>
  <c r="K161" i="3"/>
  <c r="K160" i="3"/>
  <c r="K72" i="11"/>
  <c r="K75" i="11" s="1"/>
  <c r="F74" i="11"/>
  <c r="F89" i="8"/>
  <c r="G81" i="11"/>
  <c r="G83" i="11"/>
  <c r="G83" i="12"/>
  <c r="G81" i="12"/>
  <c r="K74" i="12"/>
  <c r="F74" i="12"/>
  <c r="L163" i="8"/>
  <c r="K82" i="12"/>
  <c r="F82" i="12"/>
  <c r="F72" i="12"/>
  <c r="K72" i="12"/>
  <c r="F90" i="8"/>
  <c r="G82" i="11"/>
  <c r="K82" i="11" s="1"/>
  <c r="M157" i="10"/>
  <c r="L81" i="10"/>
  <c r="G83" i="3"/>
  <c r="K83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2" i="3"/>
  <c r="H64" i="3"/>
  <c r="H63" i="3"/>
  <c r="H65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2" i="3"/>
  <c r="K89" i="8"/>
  <c r="E89" i="8"/>
  <c r="G81" i="3"/>
  <c r="K83" i="13" l="1"/>
  <c r="F83" i="13"/>
  <c r="F81" i="13"/>
  <c r="K81" i="13"/>
  <c r="K84" i="13" s="1"/>
  <c r="J229" i="13" s="1"/>
  <c r="J232" i="13" s="1"/>
  <c r="L84" i="10"/>
  <c r="F82" i="11"/>
  <c r="K81" i="12"/>
  <c r="F81" i="12"/>
  <c r="K83" i="12"/>
  <c r="F83" i="12"/>
  <c r="F83" i="3"/>
  <c r="K75" i="12"/>
  <c r="K81" i="11"/>
  <c r="F81" i="11"/>
  <c r="F83" i="11"/>
  <c r="K83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2" i="3"/>
  <c r="K62" i="3"/>
  <c r="L73" i="8"/>
  <c r="G73" i="8"/>
  <c r="G65" i="3"/>
  <c r="K65" i="3"/>
  <c r="G72" i="8"/>
  <c r="L72" i="8"/>
  <c r="G63" i="3"/>
  <c r="K63" i="3"/>
  <c r="L75" i="8"/>
  <c r="G75" i="8"/>
  <c r="G64" i="3"/>
  <c r="K64" i="3"/>
  <c r="E90" i="8"/>
  <c r="K90" i="8"/>
  <c r="K91" i="8" s="1"/>
  <c r="K84" i="12" l="1"/>
  <c r="J230" i="12" s="1"/>
  <c r="J233" i="12" s="1"/>
  <c r="K84" i="11"/>
  <c r="J229" i="11" s="1"/>
  <c r="J232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2" i="3" l="1"/>
  <c r="F73" i="3"/>
  <c r="F74" i="3"/>
  <c r="K73" i="3" l="1"/>
  <c r="K74" i="3"/>
  <c r="K72" i="3"/>
  <c r="K75" i="3" l="1"/>
  <c r="K66" i="3" l="1"/>
  <c r="K11" i="4" l="1"/>
  <c r="K121" i="3" l="1"/>
  <c r="J231" i="3" s="1"/>
  <c r="K82" i="3"/>
  <c r="K81" i="3"/>
  <c r="F82" i="3"/>
  <c r="F81" i="3"/>
  <c r="K84" i="3" l="1"/>
  <c r="J229" i="3" s="1"/>
  <c r="J23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<sst xmlns="http://schemas.openxmlformats.org/spreadsheetml/2006/main" count="2406" uniqueCount="739">
  <si>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</si>
  <si>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</si>
  <si>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</si>
  <si>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</si>
  <si>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</si>
  <si>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</si>
  <si>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</si>
  <si>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  <charset val="1"/>
      </rPr>
      <t xml:space="preserve">   Instructions:</t>
    </r>
    <r>
      <rPr>
        <sz val="11"/>
        <color theme="1"/>
        <rFont val="Montserrat Light"/>
        <charset val="1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</si>
  <si>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</si>
  <si>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</si>
  <si>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</si>
  <si>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</si>
  <si>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</si>
  <si>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</si>
  <si>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</si>
  <si>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</si>
  <si>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</si>
  <si>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</si>
  <si>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</si>
  <si>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</si>
  <si>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</si>
  <si>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</si>
  <si>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</si>
  <si>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</si>
  <si>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</si>
  <si>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</si>
  <si>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</si>
  <si>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</si>
  <si>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</si>
  <si>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</si>
  <si>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</si>
  <si>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</si>
  <si>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</si>
  <si>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</si>
  <si>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</si>
  <si>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</si>
  <si>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</si>
  <si>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</si>
  <si>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</si>
  <si>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</si>
  <si>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</si>
  <si>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</si>
  <si>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</si>
  <si>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</si>
  <si>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</si>
  <si>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</si>
  <si>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</si>
  <si>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</si>
  <si>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</si>
  <si>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</si>
  <si>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</si>
  <si>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</si>
  <si>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</si>
  <si>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</si>
  <si>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</si>
  <si>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</si>
  <si>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</si>
  <si>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</si>
  <si>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</si>
  <si>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</si>
  <si>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</si>
  <si>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</si>
  <si>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</si>
  <si>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</si>
  <si>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</si>
  <si>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</si>
  <si>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</si>
  <si>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</si>
  <si>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</si>
  <si>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</si>
  <si>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</si>
  <si>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</si>
  <si>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</si>
  <si>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</si>
  <si>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</si>
  <si>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</si>
  <si>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</si>
  <si>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</si>
  <si>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</si>
  <si>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</si>
  <si>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</si>
  <si>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</si>
  <si>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</si>
  <si>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</si>
  <si>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</si>
  <si>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</si>
  <si>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</si>
  <si>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</si>
  <si>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</si>
  <si>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</si>
  <si>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</si>
  <si>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  <charset val="1"/>
      </rPr>
      <t>*</t>
    </r>
  </si>
  <si>
    <t>Pris</t>
  </si>
  <si>
    <r>
      <t xml:space="preserve">BAAS-on.demand </t>
    </r>
    <r>
      <rPr>
        <sz val="11"/>
        <color theme="6"/>
        <rFont val="Montserrat Medium"/>
        <charset val="1"/>
      </rPr>
      <t>**</t>
    </r>
  </si>
  <si>
    <t>N/A</t>
  </si>
  <si>
    <r>
      <t xml:space="preserve">BAAS-small </t>
    </r>
    <r>
      <rPr>
        <sz val="11"/>
        <color theme="6"/>
        <rFont val="Montserrat Medium"/>
        <charset val="1"/>
      </rPr>
      <t>****</t>
    </r>
  </si>
  <si>
    <r>
      <t xml:space="preserve">BAAS-large </t>
    </r>
    <r>
      <rPr>
        <sz val="11"/>
        <color theme="6"/>
        <rFont val="Montserrat Medium"/>
        <charset val="1"/>
      </rPr>
      <t>***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</si>
  <si>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</si>
  <si>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The price is per protected GB on the client.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</si>
  <si>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</si>
  <si>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</si>
  <si>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</si>
  <si>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</si>
  <si>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</si>
  <si>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</si>
  <si>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</si>
  <si>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</si>
  <si>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</si>
  <si>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</si>
  <si>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</si>
  <si>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</si>
  <si>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</si>
  <si>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</si>
  <si>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</si>
  <si>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</si>
  <si>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</si>
  <si>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</si>
  <si>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</si>
  <si>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</si>
  <si>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</si>
  <si>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</si>
  <si>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</si>
  <si>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</si>
  <si>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</si>
  <si>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</si>
  <si>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</si>
  <si>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</si>
  <si>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</si>
  <si>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</si>
  <si>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</si>
  <si>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</si>
  <si>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</si>
  <si>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</si>
  <si>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</si>
  <si>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</si>
  <si>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</si>
  <si>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</si>
  <si>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</si>
  <si>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</si>
  <si>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</si>
  <si>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</si>
  <si>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</si>
  <si>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</si>
  <si>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</si>
  <si>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</si>
  <si>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</si>
  <si>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</si>
  <si>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</si>
  <si>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</si>
  <si>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</si>
  <si>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</si>
  <si>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</si>
  <si>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</si>
  <si>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</si>
  <si>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</si>
  <si>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</si>
  <si>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</si>
  <si>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</si>
  <si>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</si>
  <si>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</si>
  <si>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</si>
  <si>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</si>
  <si>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</si>
  <si>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</si>
  <si>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</si>
  <si>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</si>
  <si>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</si>
  <si>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</si>
  <si>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</si>
  <si>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</si>
  <si>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</si>
  <si>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</si>
  <si>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</si>
  <si>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</si>
  <si>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</si>
  <si>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</si>
  <si>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</si>
  <si>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</si>
  <si>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</si>
  <si>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</si>
  <si>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</si>
  <si>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</si>
  <si>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</si>
  <si>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</si>
  <si>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</si>
  <si>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</si>
  <si>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</si>
  <si>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</si>
  <si>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</si>
  <si>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</si>
  <si>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</si>
  <si>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</si>
  <si>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</si>
  <si>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</si>
  <si>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</si>
  <si>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</si>
  <si>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</si>
  <si>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</si>
  <si>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</si>
  <si>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</si>
  <si>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</si>
  <si>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</si>
  <si>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</si>
  <si>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</si>
  <si>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</si>
  <si>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</si>
  <si>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  <charset val="1"/>
      </rPr>
      <t xml:space="preserve">   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</si>
  <si>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</si>
  <si>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</si>
  <si>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</si>
  <si>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</si>
  <si>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</si>
  <si>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</si>
  <si>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</si>
  <si>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</si>
  <si>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</si>
  <si>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</si>
  <si>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</si>
  <si>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</si>
  <si>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</si>
  <si>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</si>
  <si>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</si>
  <si>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</si>
  <si>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</si>
  <si>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</si>
  <si>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</si>
  <si>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</si>
  <si>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  <charset val="1"/>
      </rPr>
      <t xml:space="preserve">   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</si>
  <si>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</si>
  <si>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  <charset val="1"/>
      </rPr>
      <t>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</si>
  <si>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</si>
  <si>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 xml:space="preserve">Priset är per skyddad GB på klienten. 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</si>
  <si>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</si>
  <si>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Priset är per lagrad GB i tjänsten efter deduplicering och komprimering. Det ingår 1000GB i det fasta månadspriset.</t>
    </r>
  </si>
  <si>
    <t xml:space="preserve"> Typ</t>
  </si>
  <si>
    <t>Debitering per</t>
  </si>
  <si>
    <t>Publik</t>
  </si>
  <si>
    <t>Datatrafik</t>
  </si>
  <si>
    <t xml:space="preserve">Instans 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</si>
  <si>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</si>
  <si>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</si>
  <si>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</si>
  <si>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</si>
  <si>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</si>
  <si>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</si>
  <si>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</si>
  <si>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</si>
  <si>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</si>
  <si>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</si>
  <si>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</si>
  <si>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</si>
  <si>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</si>
  <si>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</si>
  <si>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</si>
  <si>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</si>
  <si>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</si>
  <si>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</si>
  <si>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</si>
  <si>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</si>
  <si>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</si>
  <si>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</si>
  <si>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</si>
  <si>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</si>
  <si>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</si>
  <si>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</si>
  <si>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</si>
  <si>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</si>
  <si>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</si>
  <si>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</si>
  <si>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</si>
  <si>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</si>
  <si>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</si>
  <si>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</si>
  <si>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</si>
  <si>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</si>
  <si>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</si>
  <si>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  <charset val="1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</si>
  <si>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</si>
  <si>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</si>
  <si>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</si>
  <si>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</si>
  <si>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</si>
  <si>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</si>
  <si>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</si>
  <si>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Prisen er per beskyttet GB på klienten.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</si>
  <si>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Prisen er per lagret GB i tjenesten etter deduplisering og komprimering.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</si>
  <si>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</si>
  <si>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</si>
  <si>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</si>
  <si>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</si>
  <si>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</si>
  <si>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</si>
  <si>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</si>
  <si>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</si>
  <si>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</si>
  <si>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</si>
  <si>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</si>
  <si>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</si>
  <si>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</si>
  <si>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</si>
  <si>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</si>
  <si>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</si>
  <si>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</si>
  <si>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</si>
  <si>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</si>
  <si>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</si>
  <si>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</si>
  <si>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</si>
  <si>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</si>
  <si>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</si>
  <si>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</si>
  <si>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</si>
  <si>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</si>
  <si>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</si>
  <si>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</si>
  <si>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</si>
  <si>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</si>
  <si>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</si>
  <si>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</si>
  <si>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</si>
  <si>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</si>
  <si>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</si>
  <si>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</si>
  <si>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</si>
  <si>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</si>
  <si>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</si>
  <si>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</si>
  <si>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</si>
  <si>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</si>
  <si>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</si>
  <si>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</si>
  <si>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</si>
  <si>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</si>
  <si>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</si>
  <si>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</si>
  <si>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</si>
  <si>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</si>
  <si>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</si>
  <si>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</si>
  <si>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</si>
  <si>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</si>
  <si>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</si>
  <si>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</si>
  <si>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</si>
  <si>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</si>
  <si>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</si>
  <si>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</si>
  <si>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  <charset val="1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</si>
  <si>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  <charset val="1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</si>
  <si>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</si>
  <si>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</si>
  <si>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</si>
  <si>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</si>
  <si>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</si>
  <si>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</si>
  <si>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</si>
  <si>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</si>
  <si>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</si>
  <si>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</si>
  <si>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  <charset val="1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</si>
  <si>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</si>
  <si>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</si>
  <si>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</si>
  <si>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</si>
  <si>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</si>
  <si>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</si>
  <si>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</si>
  <si>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</si>
  <si>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</si>
  <si>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</si>
  <si>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</si>
  <si>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</si>
  <si>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</si>
  <si>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</si>
  <si>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</si>
  <si>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</si>
  <si>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</si>
  <si>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</si>
  <si>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</si>
  <si>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</si>
  <si>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</si>
  <si>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</si>
  <si>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</si>
  <si>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</si>
  <si>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</si>
  <si>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</si>
  <si>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</si>
  <si>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</si>
  <si>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  <charset val="1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</si>
  <si>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</si>
  <si>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</si>
  <si>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</si>
  <si>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</si>
  <si>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</si>
  <si>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  <charset val="1"/>
      </rPr>
      <t>Instructions:</t>
    </r>
    <r>
      <rPr>
        <sz val="11"/>
        <color theme="1"/>
        <rFont val="Montserrat Light"/>
        <charset val="1"/>
      </rPr>
      <t xml:space="preserve"> Enter the desired amount in the colored fields</t>
    </r>
  </si>
  <si>
    <t>Alla priser är angivna i SEK, exklusive moms.</t>
  </si>
  <si>
    <r>
      <rPr>
        <sz val="11"/>
        <color theme="1"/>
        <rFont val="Montserrat Medium"/>
        <charset val="1"/>
      </rPr>
      <t>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</si>
  <si>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</si>
  <si>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</si>
  <si>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</si>
  <si>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</si>
  <si>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</si>
  <si>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</si>
  <si>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Microsoft SQL Server</t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</si>
  <si>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</si>
  <si>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</si>
  <si>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</si>
  <si>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</si>
  <si>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</si>
  <si>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</si>
  <si>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</si>
  <si>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</si>
  <si>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</si>
  <si>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</si>
  <si>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</si>
  <si>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</si>
  <si>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</si>
  <si>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</si>
  <si>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</si>
  <si>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</si>
  <si>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</si>
  <si>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</si>
  <si>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</si>
  <si>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</si>
  <si>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</si>
  <si>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</si>
  <si>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</si>
  <si>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</si>
  <si>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</si>
  <si>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</si>
  <si>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</si>
  <si>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</si>
  <si>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</si>
  <si>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</si>
  <si>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  <charset val="1"/>
      </rPr>
      <t xml:space="preserve">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</si>
  <si>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r>
      <rPr>
        <sz val="11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man.redis</t>
    </r>
  </si>
  <si>
    <t>Central blocklagring</t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</si>
  <si>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 xml:space="preserve">Priset är per skyddad GB på klienten. 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</si>
  <si>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</si>
  <si>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</t>
    </r>
  </si>
  <si>
    <r>
      <rPr>
        <sz val="14"/>
        <color theme="4"/>
        <rFont val="Hind Light"/>
        <charset val="1"/>
      </rPr>
      <t>Deduplicering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</si>
  <si>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</si>
  <si>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</si>
  <si>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p1.2xlarge.16d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</si>
  <si>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p1.8xlarge.32d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</si>
  <si>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glm.large.1d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</si>
  <si>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glm.xlarge.2d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</si>
  <si>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glm.2xlarge.4d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</si>
  <si>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glm.4xlarge.8d</t>
    </r>
  </si>
  <si>
    <r>
      <rPr>
        <sz val="10"/>
        <color theme="1" tint="0.39997558519241921"/>
        <rFont val="Montserrat Medium"/>
        <charset val="1"/>
      </rPr>
      <t>INSTANCE</t>
    </r>
    <r>
      <rPr>
        <sz val="9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>p1.4xlarge.16d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</si>
  <si>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large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</si>
  <si>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fast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</si>
  <si>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snapshot</t>
    </r>
  </si>
  <si>
    <r>
      <rPr>
        <sz val="10"/>
        <color theme="1" tint="0.39997558519241921"/>
        <rFont val="Montserrat Medium"/>
        <charset val="1"/>
      </rPr>
      <t>S3-</t>
    </r>
    <r>
      <rPr>
        <sz val="11"/>
        <color theme="1"/>
        <rFont val="Montserrat Medium"/>
        <charset val="1"/>
      </rPr>
      <t>storage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</si>
  <si>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on.demand </t>
    </r>
    <r>
      <rPr>
        <vertAlign val="superscript"/>
        <sz val="11"/>
        <color theme="6"/>
        <rFont val="Montserrat SemiBold"/>
        <charset val="1"/>
      </rPr>
      <t>2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</si>
  <si>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small </t>
    </r>
    <r>
      <rPr>
        <vertAlign val="superscript"/>
        <sz val="11"/>
        <color theme="6"/>
        <rFont val="Montserrat SemiBold"/>
        <charset val="1"/>
      </rPr>
      <t>3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</si>
  <si>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large </t>
    </r>
    <r>
      <rPr>
        <vertAlign val="superscript"/>
        <sz val="11"/>
        <color theme="6"/>
        <rFont val="Montserrat SemiBold"/>
        <charset val="1"/>
      </rPr>
      <t>4</t>
    </r>
  </si>
  <si>
    <r>
      <rPr>
        <sz val="10"/>
        <color theme="1" tint="0.39997558519241921"/>
        <rFont val="Montserrat Medium"/>
        <charset val="1"/>
      </rPr>
      <t>PAAS</t>
    </r>
    <r>
      <rPr>
        <sz val="10"/>
        <color theme="1"/>
        <rFont val="Montserrat Medium"/>
        <charset val="1"/>
      </rPr>
      <t>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</si>
  <si>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man.kubernetes24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</si>
  <si>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</si>
  <si>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publicv6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</si>
  <si>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ingress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</si>
  <si>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egress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</si>
  <si>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mgn.slb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</si>
  <si>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rdns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</si>
  <si>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byoip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</si>
  <si>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</si>
  <si>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nextcloud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</si>
  <si>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suse.linux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</si>
  <si>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</si>
  <si>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openshift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</si>
  <si>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man.nats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</si>
  <si>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man.mariadb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</si>
  <si>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base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</si>
  <si>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standard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</si>
  <si>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premium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</si>
  <si>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</si>
  <si>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</si>
  <si>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</si>
  <si>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</si>
  <si>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</si>
  <si>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pm.sen</t>
    </r>
  </si>
  <si>
    <t>Produkt</t>
  </si>
  <si>
    <t>Lagring</t>
  </si>
  <si>
    <r>
      <rPr>
        <sz val="10"/>
        <color theme="1" tint="0.39997558519241921"/>
        <rFont val="Montserrat Medium"/>
        <charset val="1"/>
      </rPr>
      <t>S3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3"/>
        <rFont val="Montserrat Medium"/>
        <charset val="1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</si>
  <si>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</si>
  <si>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  <charset val="1"/>
      </rPr>
      <t>5</t>
    </r>
  </si>
  <si>
    <r>
      <t>Central blocklagring kan köpas till insatserna. Se "</t>
    </r>
    <r>
      <rPr>
        <sz val="9"/>
        <color theme="6"/>
        <rFont val="Montserrat SemiBold"/>
        <charset val="1"/>
      </rPr>
      <t>Central blocklagring</t>
    </r>
    <r>
      <rPr>
        <sz val="9"/>
        <color theme="1"/>
        <rFont val="Montserrat Light"/>
        <charset val="1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</si>
  <si>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</si>
  <si>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</si>
  <si>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</si>
  <si>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</si>
  <si>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</si>
  <si>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</si>
  <si>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</si>
  <si>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</si>
  <si>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</si>
  <si>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</si>
  <si>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</si>
  <si>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</si>
  <si>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</si>
  <si>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r>
      <t xml:space="preserve">Instructions: </t>
    </r>
    <r>
      <rPr>
        <sz val="11"/>
        <color theme="1"/>
        <rFont val="Montserrat Light"/>
        <charset val="1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</si>
  <si>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</si>
  <si>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</si>
  <si>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</si>
  <si>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</si>
  <si>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</si>
  <si>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  <charset val="1"/>
      </rPr>
      <t>Deduplication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</si>
  <si>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</si>
  <si>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The price is per protected GB on the client.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</si>
  <si>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</si>
  <si>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</si>
  <si>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</si>
  <si>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</si>
  <si>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</si>
  <si>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</si>
  <si>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</si>
  <si>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</si>
  <si>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</si>
  <si>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</si>
  <si>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</si>
  <si>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</si>
  <si>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</si>
  <si>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</si>
  <si>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</si>
  <si>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</si>
  <si>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</si>
  <si>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</si>
  <si>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</si>
  <si>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</si>
  <si>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</si>
  <si>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</si>
  <si>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</si>
  <si>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</si>
  <si>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</si>
  <si>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</si>
  <si>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</si>
  <si>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</si>
  <si>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</si>
  <si>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</si>
  <si>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</si>
  <si>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</si>
  <si>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</si>
  <si>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</si>
  <si>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</si>
  <si>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</si>
  <si>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</si>
  <si>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</si>
  <si>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</si>
  <si>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</si>
  <si>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</si>
  <si>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</si>
  <si>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</si>
  <si>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</si>
  <si>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  <charset val="1"/>
      </rPr>
      <t>Deduplisering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</si>
  <si>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per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</si>
  <si>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</si>
  <si>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</si>
  <si>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</si>
  <si>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</si>
  <si>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</si>
  <si>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</si>
  <si>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</si>
  <si>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</si>
  <si>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</si>
  <si>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</si>
  <si>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</si>
  <si>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</si>
  <si>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Plattformtjenester</t>
  </si>
  <si>
    <t>Safespring tilbyr flere plattformtjenester.</t>
  </si>
  <si>
    <t>Support gjelder Safespring Compute, Safespring Storage og Safespring Backup.</t>
  </si>
  <si>
    <t>Konsulttjenester</t>
  </si>
  <si>
    <t>Safespring tilbyr flere konsulttjenester.</t>
  </si>
  <si>
    <t>Fire dager</t>
  </si>
  <si>
    <t>Kontakt Safespring for et komplett tilbud</t>
  </si>
  <si>
    <t>Hverdager</t>
  </si>
  <si>
    <r>
      <t xml:space="preserve">Instruksjoner: </t>
    </r>
    <r>
      <rPr>
        <sz val="11"/>
        <color theme="1"/>
        <rFont val="Montserrat Light"/>
        <charset val="1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</si>
  <si>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</si>
  <si>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</si>
  <si>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</si>
  <si>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</si>
  <si>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</si>
  <si>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  <charset val="1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</si>
  <si>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  <charset val="1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</si>
  <si>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</si>
  <si>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</si>
  <si>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</si>
  <si>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</si>
  <si>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win.ser.2022</t>
    </r>
  </si>
  <si>
    <r>
      <t>Safespring Backup</t>
    </r>
    <r>
      <rPr>
        <sz val="48"/>
        <color theme="8" tint="0.59999389629810485"/>
        <rFont val="Hind Light"/>
        <charset val="1"/>
      </rPr>
      <t xml:space="preserve"> | SP</t>
    </r>
  </si>
  <si>
    <r>
      <t xml:space="preserve">Safespring Compute </t>
    </r>
    <r>
      <rPr>
        <sz val="48"/>
        <color theme="4"/>
        <rFont val="Hind Light"/>
        <charset val="1"/>
      </rPr>
      <t>| IaaS</t>
    </r>
  </si>
  <si>
    <r>
      <t xml:space="preserve">Safespring Storage </t>
    </r>
    <r>
      <rPr>
        <sz val="48"/>
        <color theme="4"/>
        <rFont val="Hind Light"/>
        <charset val="1"/>
      </rPr>
      <t>| S3</t>
    </r>
  </si>
  <si>
    <r>
      <t xml:space="preserve">Safespring Backup </t>
    </r>
    <r>
      <rPr>
        <sz val="48"/>
        <color theme="4"/>
        <rFont val="Hind Light"/>
        <charset val="1"/>
      </rPr>
      <t>| SP</t>
    </r>
  </si>
  <si>
    <t xml:space="preserve"> Begär offert </t>
  </si>
  <si>
    <t>Kontaka oss för rabatter vid större lagringsmängder. Prismodell baserat på antal lagrade TB i månaden.</t>
  </si>
  <si>
    <t>Kontakt oss for rabatter på større lagringsmengder. Prismodell basert på antall lagrede TB per måned.</t>
  </si>
  <si>
    <t>hello@safespring.com</t>
  </si>
  <si>
    <t>No support</t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</si>
  <si>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intro.iaas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</si>
  <si>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cxo.strategy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</si>
  <si>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intro.cloud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</si>
  <si>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devops.microservices</t>
    </r>
  </si>
  <si>
    <r>
      <t xml:space="preserve">Lokal disk </t>
    </r>
    <r>
      <rPr>
        <sz val="11"/>
        <color theme="4"/>
        <rFont val="Hind Light"/>
        <charset val="1"/>
      </rPr>
      <t>(GB)</t>
    </r>
  </si>
  <si>
    <r>
      <t>RAM</t>
    </r>
    <r>
      <rPr>
        <sz val="11"/>
        <color theme="4"/>
        <rFont val="Hind Light"/>
        <charset val="1"/>
      </rPr>
      <t xml:space="preserve"> (GB)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</si>
  <si>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</si>
  <si>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</si>
  <si>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</si>
  <si>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</si>
  <si>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</si>
  <si>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1000</t>
    </r>
  </si>
  <si>
    <r>
      <rPr>
        <sz val="10"/>
        <color theme="1" tint="0.39997558519241921"/>
        <rFont val="Montserrat Medium"/>
        <charset val="1"/>
      </rPr>
      <t>FLAVOR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</si>
  <si>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</si>
  <si>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</si>
  <si>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</si>
  <si>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</si>
  <si>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</si>
  <si>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l2. c32 r64.1000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</si>
  <si>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</si>
  <si>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</si>
  <si>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</si>
  <si>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</si>
  <si>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>b2 .c4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</si>
  <si>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c4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</si>
  <si>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</si>
  <si>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</si>
  <si>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</si>
  <si>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</si>
  <si>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</si>
  <si>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</si>
  <si>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</si>
  <si>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</si>
  <si>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  <charset val="1"/>
      </rPr>
      <t>Central blocklagring</t>
    </r>
    <r>
      <rPr>
        <sz val="8"/>
        <color theme="3" tint="0.39997558519241921"/>
        <rFont val="Montserrat"/>
        <charset val="1"/>
      </rPr>
      <t>" i prislistan.</t>
    </r>
  </si>
  <si>
    <t>FLAVOR-l2. c16 r64. 500</t>
  </si>
  <si>
    <t>SW-ms.sql.ser.ent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</si>
  <si>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ms.sql.ser.ent</t>
    </r>
  </si>
  <si>
    <t>Tillbud</t>
  </si>
  <si>
    <t>Infrastruktur kan köras med en Open Source-licens eller med en Windows-licens</t>
  </si>
  <si>
    <t>Backup-lösning i cloud för lokala servrar eller molnservrar baserad på Spectrum Protect (TSM).</t>
  </si>
  <si>
    <t>Programvara och licenser</t>
  </si>
  <si>
    <t>Nätverk och programvara</t>
  </si>
  <si>
    <t>Tillgång till chatt-rum med support och tekniker</t>
  </si>
  <si>
    <t>Dedikerad servicechef med kvartalsvisa driftsmöten</t>
  </si>
  <si>
    <t>Molnstrategi för ledningsgrupper</t>
  </si>
  <si>
    <t>Introduktion till moln-infrastrukturteknik</t>
  </si>
  <si>
    <t xml:space="preserve"> Kontakta Safespring för en fullständig offert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</si>
  <si>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är en datareduktion som görs i tjänsten. Beroende på data varierar det normalt mellan 45 % - 90 %.</t>
    </r>
  </si>
  <si>
    <r>
      <rPr>
        <sz val="10"/>
        <color theme="6"/>
        <rFont val="Montserrat SemiBold"/>
        <charset val="1"/>
      </rPr>
      <t>5</t>
    </r>
    <r>
      <rPr>
        <sz val="10"/>
        <color theme="1"/>
        <rFont val="Montserrat SemiBold"/>
        <charset val="1"/>
      </rPr>
      <t xml:space="preserve"> </t>
    </r>
    <r>
      <rPr>
        <i/>
        <sz val="10"/>
        <color theme="1"/>
        <rFont val="Montserrat Light"/>
        <charset val="1"/>
      </rPr>
      <t>Supportavgiften debiteras med 3 % av den totala volymen med en lägsta avgift på 1500 SEK per månad.</t>
    </r>
  </si>
  <si>
    <t>Infrastruktur kan kjøres med en Open Source-lisens eller med en Windows-lisens.</t>
  </si>
  <si>
    <t>Alle priser er oppgitt i NOK, eks mva</t>
  </si>
  <si>
    <t>Safespring tilbyr flere programvarer og lisenser.</t>
  </si>
  <si>
    <t>Ingen support</t>
  </si>
  <si>
    <t>Safespring tilbyr flere support-avtaler.</t>
  </si>
  <si>
    <t>Support til Safesprings tjenester</t>
  </si>
  <si>
    <t>Tilgang til chatte-rom med support og tekniker</t>
  </si>
  <si>
    <t>Dedikert servicesjef med kvartalsvise driftsmøter</t>
  </si>
  <si>
    <t>Total volum</t>
  </si>
  <si>
    <r>
      <t xml:space="preserve">3 % av total volum </t>
    </r>
    <r>
      <rPr>
        <vertAlign val="superscript"/>
        <sz val="11"/>
        <color theme="6"/>
        <rFont val="Montserrat SemiBold"/>
        <charset val="1"/>
      </rPr>
      <t>5</t>
    </r>
  </si>
  <si>
    <t>Safespring tilbyr flere utdanninger innen IaaS og cloud.</t>
  </si>
  <si>
    <t>Varighet</t>
  </si>
  <si>
    <t>Introduksjon til cloud-infrastrukturteknologi</t>
  </si>
  <si>
    <t>Cloud-strategi for ledergrupper</t>
  </si>
  <si>
    <t>Introduksjon til "infrastruktur som en tjeneste"</t>
  </si>
  <si>
    <t>Stykk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</si>
  <si>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er en datareduksjon gjort i tjenesten. Avhengig av dataene varierer det normalt mellom 45 % - 90 %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</si>
  <si>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Supportavgiften er 3 % av det totale volumet, med en minimumsavgift på 1500 NOK per måned.</t>
    </r>
  </si>
  <si>
    <t>Access to chat room with support and engineering</t>
  </si>
  <si>
    <r>
      <t xml:space="preserve">3 % of total volume </t>
    </r>
    <r>
      <rPr>
        <vertAlign val="superscript"/>
        <sz val="11"/>
        <color theme="6"/>
        <rFont val="Montserrat SemiBold"/>
        <charset val="1"/>
      </rPr>
      <t>5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</si>
  <si>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 The service includes 1000 GB in the fixed monthly price.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</si>
  <si>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The support fee is charged at 3 % of the total volume with a minimum fee of 150 EUR per month.</t>
    </r>
  </si>
  <si>
    <t>Telefon: +46 8-55 10 73 56</t>
  </si>
  <si>
    <t>Infrastruktur kan køre med en Open Source-licens eller med en Windows-licens.</t>
  </si>
  <si>
    <t>Alle priser er i EUR, eksklusive moms. Fakturaen vil være i DKK, hvor den gennemsnitlige valutakurs, baseret på valutakurserne fra ECB, pr. måned bruges til at beregne priserne.</t>
  </si>
  <si>
    <r>
      <t xml:space="preserve">Vejledning: </t>
    </r>
    <r>
      <rPr>
        <sz val="11"/>
        <color theme="1"/>
        <rFont val="Montserrat Light"/>
        <charset val="1"/>
      </rPr>
      <t>Udfyld det ønskede antal i de farvede felter.</t>
    </r>
  </si>
  <si>
    <r>
      <t xml:space="preserve">RAM </t>
    </r>
    <r>
      <rPr>
        <sz val="11"/>
        <color theme="4"/>
        <rFont val="Hind Light"/>
        <charset val="1"/>
      </rPr>
      <t>(GB)</t>
    </r>
  </si>
  <si>
    <t>Per 30 dage</t>
  </si>
  <si>
    <t>Per TB i 30 dage</t>
  </si>
  <si>
    <t>Per GB i 30 dage</t>
  </si>
  <si>
    <r>
      <rPr>
        <sz val="12"/>
        <color theme="4"/>
        <rFont val="Hind Light"/>
        <charset val="1"/>
      </rPr>
      <t>Deduplicering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</si>
  <si>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>Fakturering pr.</t>
  </si>
  <si>
    <t>Pr. måned</t>
  </si>
  <si>
    <t>Dataoverførsel</t>
  </si>
  <si>
    <t>IP-adresse</t>
  </si>
  <si>
    <t>Instans</t>
  </si>
  <si>
    <t xml:space="preserve"> Bed om tilbud</t>
  </si>
  <si>
    <t>Varighed</t>
  </si>
  <si>
    <t>Månedlig omkostning</t>
  </si>
  <si>
    <t>Flavors uden lokal disk</t>
  </si>
  <si>
    <t>Central bloklagring</t>
  </si>
  <si>
    <t>Central bloklagring giver tre kopier af data fordelt i en robust CEPH-klynge.</t>
  </si>
  <si>
    <t>Cloud backup-løsning for lokale servere eller cloud-servere baseret på Spectrum Protect (TSM).</t>
  </si>
  <si>
    <t>Netværk og software</t>
  </si>
  <si>
    <t>Safespring tilbyder flere netværkstjenester.</t>
  </si>
  <si>
    <t>Load balancer, der kræver deres egne servere</t>
  </si>
  <si>
    <t>Software og licenser</t>
  </si>
  <si>
    <t>Safespring tilbyder flere software og licenser.</t>
  </si>
  <si>
    <t>Support gælder for Safespring Compute, Safespring Storage og Safespring Backup.</t>
  </si>
  <si>
    <t>Safespring tilbyder flere support-aftaler.</t>
  </si>
  <si>
    <t>Adgang til chat-rum med support og teknikere</t>
  </si>
  <si>
    <t>Dedikeret servicechef med kvartalsvise driftsmøder</t>
  </si>
  <si>
    <t>Total volumen</t>
  </si>
  <si>
    <r>
      <t xml:space="preserve">3 % of total volumen </t>
    </r>
    <r>
      <rPr>
        <vertAlign val="superscript"/>
        <sz val="11"/>
        <color theme="6"/>
        <rFont val="Montserrat SemiBold"/>
        <charset val="1"/>
      </rPr>
      <t>5</t>
    </r>
  </si>
  <si>
    <t>Safespring tilbyder flere konsulenttjenester.</t>
  </si>
  <si>
    <t>Uddannelser</t>
  </si>
  <si>
    <t>Safespring tilbyder flere uddannelser i IaaS og cloud.</t>
  </si>
  <si>
    <t>Introduktion til "infrastruktur som en tjeneste"</t>
  </si>
  <si>
    <t>Cloud-strategi for ledelsesgrupper</t>
  </si>
  <si>
    <t>Introduktion til cloud-infrastrukturteknologi</t>
  </si>
  <si>
    <t>Fire dage</t>
  </si>
  <si>
    <t>Lejlighed</t>
  </si>
  <si>
    <t>Kontakt Safespring for et komplet tilbud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</si>
  <si>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Deduplicering er en datareduktion, der udføres i tjenesten. Afhængigt af data varierer det normalt mellem 45 % - 90 %.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</si>
  <si>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pr.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</si>
  <si>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</si>
  <si>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Supportgebyret udgør 3 % af den samlede volumen med et minimumsgebyr på 150 EUR pr. måned.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</si>
  <si>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 Tjenesten inkluderer 1000 GB i den faste månedlige pris.</t>
    </r>
  </si>
  <si>
    <t>Fakturaen vil være i DKK, hvor den gennemsnitlige valutakurs, baseret på valutakurserne fra ECB, pr. måned bruges til at beregne priserne.</t>
  </si>
  <si>
    <t>Antal (GB)</t>
  </si>
  <si>
    <t>Antal (TB)</t>
  </si>
  <si>
    <t>Safespring erbjuder flera programvaror och licenser.</t>
  </si>
  <si>
    <r>
      <t>Sentral blokklagring kan kjøpes til innsatsene. Se "</t>
    </r>
    <r>
      <rPr>
        <sz val="9"/>
        <color theme="5"/>
        <rFont val="Montserrat SemiBold"/>
        <charset val="1"/>
      </rPr>
      <t>Sentral blokklagring</t>
    </r>
    <r>
      <rPr>
        <sz val="9"/>
        <color theme="1"/>
        <rFont val="Montserrat Light"/>
        <charset val="1"/>
      </rPr>
      <t>" i prislisten.</t>
    </r>
  </si>
  <si>
    <r>
      <t>Central bloklagring kan købes til instanserne. Se "</t>
    </r>
    <r>
      <rPr>
        <sz val="9"/>
        <color theme="5"/>
        <rFont val="Montserrat SemiBold"/>
        <charset val="1"/>
      </rPr>
      <t>Central bloklagring</t>
    </r>
    <r>
      <rPr>
        <sz val="9"/>
        <color theme="1"/>
        <rFont val="Montserrat Light"/>
        <charset val="1"/>
      </rPr>
      <t>" i prislisten.</t>
    </r>
  </si>
  <si>
    <r>
      <t>Central block storage can be purchased for the instances. See "</t>
    </r>
    <r>
      <rPr>
        <sz val="9"/>
        <color theme="5"/>
        <rFont val="Montserrat SemiBold"/>
        <charset val="1"/>
      </rPr>
      <t>Central block storage</t>
    </r>
    <r>
      <rPr>
        <sz val="9"/>
        <color theme="1"/>
        <rFont val="Montserrat Light"/>
        <charset val="1"/>
      </rPr>
      <t>" in the price list.</t>
    </r>
  </si>
  <si>
    <t>Kontakt os for rabatter på større lagermængder. Prismodellen er baseret på antallet af lagrede TB pr. måned.</t>
  </si>
  <si>
    <t>Safespring tilbyder flere platformstjenester.</t>
  </si>
  <si>
    <t>Contact us for discounts on larger storage quantities. Pricing model based on the number of stored TB per month.</t>
  </si>
  <si>
    <t>Managed Opensearch (ingår i Compliant Kubernetes)</t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</si>
  <si>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man.opensearch</t>
    </r>
  </si>
  <si>
    <t>Managed Opensearch (inkludert i Compliant Kubernetes)</t>
  </si>
  <si>
    <t>Managed Opensearch (inkluderet i Compliant Kubernetes)</t>
  </si>
  <si>
    <t>Managed Opensearch (included in Compliant Kubernetes)</t>
  </si>
  <si>
    <t>Microsoft Windows Server</t>
  </si>
  <si>
    <t>Microsoft SQL Server standard</t>
  </si>
  <si>
    <t>Microsoft SQL Server Enterprise</t>
  </si>
  <si>
    <t>Nextcloud Hub</t>
  </si>
  <si>
    <t>SUSE Linux Enterprise Server</t>
  </si>
  <si>
    <t>Priskalkylator 2024-05-06</t>
  </si>
  <si>
    <t>Priskalkulator 2024-05-06</t>
  </si>
  <si>
    <t>Prisberegner 2024-05-06</t>
  </si>
  <si>
    <t>Price calculator 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</si>
</sst>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4" formatCode="#,##0.00\ [$€-1];\-#,##0.00\ [$€-1]"/>
  </numFmts>
  <fonts count="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  <charset val="1"/>
    </font>
    <font>
      <sz val="11"/>
      <color theme="3"/>
      <name val="Montserrat Light"/>
      <charset val="1"/>
    </font>
    <font>
      <sz val="11"/>
      <color theme="8"/>
      <name val="Montserrat Light"/>
      <charset val="1"/>
    </font>
    <font>
      <sz val="11"/>
      <color theme="1"/>
      <name val="Montserrat Light"/>
      <charset val="1"/>
    </font>
    <font>
      <sz val="16"/>
      <color theme="3"/>
      <name val="Montserrat Light"/>
      <charset val="1"/>
    </font>
    <font>
      <sz val="16"/>
      <color theme="8"/>
      <name val="Montserrat Light"/>
      <charset val="1"/>
    </font>
    <font>
      <sz val="9"/>
      <color theme="1"/>
      <name val="Montserrat Light"/>
      <charset val="1"/>
    </font>
    <font>
      <sz val="18"/>
      <color theme="8"/>
      <name val="Montserrat Light"/>
      <charset val="1"/>
    </font>
    <font>
      <b/>
      <sz val="11"/>
      <color theme="3"/>
      <name val="Montserrat Light"/>
      <charset val="1"/>
    </font>
    <font>
      <sz val="9"/>
      <color theme="3"/>
      <name val="Montserrat Light"/>
      <charset val="1"/>
    </font>
    <font>
      <sz val="9"/>
      <color rgb="FF003959"/>
      <name val="Montserrat Light"/>
      <charset val="1"/>
    </font>
    <font>
      <i/>
      <sz val="9"/>
      <name val="Montserrat Light"/>
      <charset val="1"/>
    </font>
    <font>
      <sz val="11"/>
      <color rgb="FF003959"/>
      <name val="Montserrat Light"/>
      <charset val="1"/>
    </font>
    <font>
      <sz val="12"/>
      <color theme="8"/>
      <name val="Montserrat Light"/>
      <charset val="1"/>
    </font>
    <font>
      <i/>
      <sz val="11"/>
      <color theme="1"/>
      <name val="Montserrat Light"/>
      <charset val="1"/>
    </font>
    <font>
      <i/>
      <sz val="11"/>
      <color theme="6"/>
      <name val="Montserrat Light"/>
      <charset val="1"/>
    </font>
    <font>
      <sz val="11"/>
      <color theme="1" tint="0.59999389629810485"/>
      <name val="Montserrat Light"/>
      <charset val="1"/>
    </font>
    <font>
      <sz val="11"/>
      <color theme="1"/>
      <name val="Montserrat Medium"/>
      <charset val="1"/>
    </font>
    <font>
      <b/>
      <sz val="11"/>
      <color theme="1"/>
      <name val="Montserrat Medium"/>
      <charset val="1"/>
    </font>
    <font>
      <sz val="18"/>
      <color theme="8"/>
      <name val="Hind Light"/>
      <charset val="1"/>
    </font>
    <font>
      <sz val="14"/>
      <color theme="4"/>
      <name val="Hind Light"/>
      <charset val="1"/>
    </font>
    <font>
      <sz val="14"/>
      <color theme="6"/>
      <name val="Hind Light"/>
      <charset val="1"/>
    </font>
    <font>
      <sz val="9"/>
      <color theme="1"/>
      <name val="Hind Light"/>
      <charset val="1"/>
    </font>
    <font>
      <sz val="11"/>
      <color theme="1"/>
      <name val="Hind Light"/>
      <charset val="1"/>
    </font>
    <font>
      <sz val="14"/>
      <color theme="1"/>
      <name val="Hind Light"/>
      <charset val="1"/>
    </font>
    <font>
      <sz val="14"/>
      <color theme="1"/>
      <name val="Montserrat Medium"/>
      <charset val="1"/>
    </font>
    <font>
      <i/>
      <sz val="11"/>
      <color theme="1"/>
      <name val="Hind Light"/>
      <charset val="1"/>
    </font>
    <font>
      <sz val="48"/>
      <color theme="9"/>
      <name val="Hind Light"/>
      <charset val="1"/>
    </font>
    <font>
      <b/>
      <sz val="11"/>
      <color theme="3"/>
      <name val="Montserrat Medium"/>
      <charset val="1"/>
    </font>
    <font>
      <sz val="11"/>
      <color theme="6"/>
      <name val="Montserrat Medium"/>
      <charset val="1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  <charset val="1"/>
    </font>
    <font>
      <sz val="14"/>
      <color theme="9"/>
      <name val="Montserrat Medium"/>
      <charset val="1"/>
    </font>
    <font>
      <sz val="14"/>
      <color theme="8"/>
      <name val="Montserrat Medium"/>
      <charset val="1"/>
    </font>
    <font>
      <sz val="9"/>
      <color theme="1"/>
      <name val="Montserrat Medium"/>
      <charset val="1"/>
    </font>
    <font>
      <sz val="12"/>
      <color theme="1"/>
      <name val="Montserrat Medium"/>
      <charset val="1"/>
    </font>
    <font>
      <u/>
      <sz val="11"/>
      <color theme="10"/>
      <name val="Calibri"/>
      <family val="2"/>
      <scheme val="minor"/>
    </font>
    <font>
      <sz val="16"/>
      <color theme="4"/>
      <name val="Hind Light"/>
      <charset val="1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  <charset val="1"/>
    </font>
    <font>
      <sz val="12"/>
      <color theme="6"/>
      <name val="Hind Light"/>
      <charset val="1"/>
    </font>
    <font>
      <sz val="10"/>
      <color theme="1"/>
      <name val="Montserrat Light"/>
      <charset val="1"/>
    </font>
    <font>
      <sz val="14"/>
      <color theme="1"/>
      <name val="Montserrat Light"/>
      <charset val="1"/>
    </font>
    <font>
      <sz val="14"/>
      <color theme="1"/>
      <name val="Calibri"/>
      <family val="2"/>
      <scheme val="minor"/>
    </font>
    <font>
      <sz val="8"/>
      <color theme="1"/>
      <name val="Montserrat Light"/>
      <charset val="1"/>
    </font>
    <font>
      <sz val="11"/>
      <color rgb="FF414141"/>
      <name val="Montserrat Medium"/>
      <charset val="1"/>
    </font>
    <font>
      <sz val="11"/>
      <color rgb="FF414141"/>
      <name val="Montserrat Light"/>
      <charset val="1"/>
    </font>
    <font>
      <sz val="11"/>
      <color rgb="FF000000"/>
      <name val="Calibri"/>
      <family val="2"/>
      <scheme val="minor"/>
    </font>
    <font>
      <b/>
      <sz val="9"/>
      <color theme="1"/>
      <name val="Montserrat Light"/>
      <charset val="1"/>
    </font>
    <font>
      <i/>
      <sz val="10"/>
      <color theme="1"/>
      <name val="Montserrat Light"/>
      <charset val="1"/>
    </font>
    <font>
      <i/>
      <sz val="11"/>
      <color theme="1" tint="0.39997558519241921"/>
      <name val="Montserrat Medium"/>
      <charset val="1"/>
    </font>
    <font>
      <i/>
      <sz val="11"/>
      <color theme="1" tint="0.39997558519241921"/>
      <name val="Montserrat Light"/>
      <charset val="1"/>
    </font>
    <font>
      <sz val="11"/>
      <color rgb="FFEBF1F5"/>
      <name val="Montserrat Light"/>
      <charset val="1"/>
    </font>
    <font>
      <sz val="11"/>
      <color theme="1"/>
      <name val="Montserrat SemiBold"/>
      <charset val="1"/>
    </font>
    <font>
      <sz val="11"/>
      <color theme="1" tint="0.39997558519241921"/>
      <name val="Montserrat Medium"/>
      <charset val="1"/>
    </font>
    <font>
      <vertAlign val="superscript"/>
      <sz val="14"/>
      <color theme="6"/>
      <name val="Montserrat SemiBold"/>
      <charset val="1"/>
    </font>
    <font>
      <vertAlign val="superscript"/>
      <sz val="11"/>
      <color theme="6"/>
      <name val="Montserrat SemiBold"/>
      <charset val="1"/>
    </font>
    <font>
      <sz val="10"/>
      <color theme="6"/>
      <name val="Montserrat SemiBold"/>
      <charset val="1"/>
    </font>
    <font>
      <i/>
      <sz val="10"/>
      <color theme="6"/>
      <name val="Montserrat Light"/>
      <charset val="1"/>
    </font>
    <font>
      <sz val="10"/>
      <color theme="1" tint="0.39997558519241921"/>
      <name val="Montserrat Medium"/>
      <charset val="1"/>
    </font>
    <font>
      <sz val="9"/>
      <color theme="1" tint="0.39997558519241921"/>
      <name val="Montserrat Medium"/>
      <charset val="1"/>
    </font>
    <font>
      <sz val="10"/>
      <color theme="1"/>
      <name val="Montserrat Medium"/>
      <charset val="1"/>
    </font>
    <font>
      <sz val="9"/>
      <color theme="6"/>
      <name val="Montserrat SemiBold"/>
      <charset val="1"/>
    </font>
    <font>
      <sz val="11"/>
      <color theme="9"/>
      <name val="Montserrat SemiBold"/>
      <charset val="1"/>
    </font>
    <font>
      <sz val="12"/>
      <color theme="4"/>
      <name val="Hind Light"/>
      <charset val="1"/>
    </font>
    <font>
      <sz val="48"/>
      <color theme="8" tint="0.59999389629810485"/>
      <name val="Hind Light"/>
      <charset val="1"/>
    </font>
    <font>
      <sz val="48"/>
      <color theme="4"/>
      <name val="Hind Light"/>
      <charset val="1"/>
    </font>
    <font>
      <sz val="10"/>
      <color theme="1"/>
      <name val="Montserrat SemiBold"/>
      <charset val="1"/>
    </font>
    <font>
      <sz val="10"/>
      <color theme="5"/>
      <name val="Montserrat SemiBold"/>
      <charset val="1"/>
    </font>
    <font>
      <sz val="11"/>
      <color theme="4"/>
      <name val="Hind Light"/>
      <charset val="1"/>
    </font>
    <font>
      <sz val="8"/>
      <color theme="3" tint="0.39997558519241921"/>
      <name val="Montserrat"/>
      <charset val="1"/>
    </font>
    <font>
      <b/>
      <sz val="8"/>
      <color theme="5"/>
      <name val="Montserrat"/>
      <charset val="1"/>
    </font>
    <font>
      <u/>
      <sz val="11"/>
      <color theme="10"/>
      <name val="Montserrat Medium"/>
      <charset val="1"/>
    </font>
    <font>
      <sz val="9"/>
      <color theme="5"/>
      <name val="Montserrat SemiBold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00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4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4" fontId="4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indent="1" readingOrder="1"/>
      <protection hidden="1"/>
    </xf>
    <xf numFmtId="184" fontId="34" fillId="0" borderId="0" xfId="0" applyNumberFormat="1" applyFont="1" applyAlignment="1" applyProtection="1">
      <alignment horizontal="right" indent="1" readingOrder="1"/>
      <protection hidden="1"/>
    </xf>
    <xf numFmtId="184" fontId="9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indent="1" readingOrder="1"/>
      <protection hidden="1"/>
    </xf>
    <xf numFmtId="184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37" fillId="0" borderId="0" xfId="0" applyNumberFormat="1" applyFont="1" applyAlignment="1" applyProtection="1">
      <alignment horizontal="right" vertical="center" indent="1" readingOrder="1"/>
      <protection hidden="1"/>
    </xf>
    <xf numFmtId="184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vertical="top" indent="1"/>
      <protection hidden="1"/>
    </xf>
    <xf numFmtId="184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indent="1"/>
      <protection hidden="1"/>
    </xf>
    <xf numFmtId="184" fontId="6" fillId="0" borderId="0" xfId="0" applyNumberFormat="1" applyFont="1" applyAlignment="1" applyProtection="1">
      <alignment horizontal="right" indent="1"/>
      <protection hidden="1"/>
    </xf>
    <xf numFmtId="184" fontId="28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vertical="top" indent="1" readingOrder="1"/>
      <protection hidden="1"/>
    </xf>
    <xf numFmtId="184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38" fillId="0" borderId="0" xfId="0" applyNumberFormat="1" applyFont="1" applyAlignment="1" applyProtection="1">
      <alignment horizontal="right" vertical="center" indent="1"/>
      <protection hidden="1"/>
    </xf>
    <xf numFmtId="184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59" fillId="0" borderId="0" xfId="0" applyNumberFormat="1" applyFont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4" fontId="9" fillId="0" borderId="6" xfId="0" applyNumberFormat="1" applyFont="1" applyBorder="1" applyAlignment="1" applyProtection="1">
      <alignment horizontal="right" vertical="center" indent="1"/>
      <protection hidden="1"/>
    </xf>
    <xf numFmtId="184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4" fontId="25" fillId="0" borderId="0" xfId="0" applyNumberFormat="1" applyFont="1" applyAlignment="1" applyProtection="1">
      <alignment horizontal="right" vertical="center" indent="1"/>
      <protection hidden="1"/>
    </xf>
    <xf numFmtId="184" fontId="9" fillId="0" borderId="0" xfId="0" applyNumberFormat="1" applyFont="1" applyAlignment="1" applyProtection="1">
      <alignment horizontal="right" vertical="top"/>
      <protection hidden="1"/>
    </xf>
    <xf numFmtId="184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7" fillId="4" borderId="0" xfId="0" applyNumberFormat="1" applyFont="1" applyFill="1" applyAlignment="1" applyProtection="1">
      <alignment horizontal="right" indent="1" readingOrder="1"/>
      <protection hidden="1"/>
    </xf>
    <xf numFmtId="184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37" fillId="4" borderId="0" xfId="0" applyNumberFormat="1" applyFont="1" applyFill="1" applyAlignment="1" applyProtection="1">
      <alignment horizontal="right" indent="1" readingOrder="1"/>
      <protection hidden="1"/>
    </xf>
    <xf numFmtId="184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/>
      <protection hidden="1"/>
    </xf>
    <xf numFmtId="184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4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4" fontId="37" fillId="4" borderId="6" xfId="0" applyNumberFormat="1" applyFont="1" applyFill="1" applyBorder="1" applyAlignment="1" applyProtection="1">
      <alignment horizontal="right" readingOrder="1"/>
      <protection hidden="1"/>
    </xf>
    <xf numFmtId="0" fontId="53" fillId="0" borderId="0" xfId="0" applyFont="1" applyProtection="1">
      <protection hidden="1"/>
    </xf>
    <xf numFmtId="0" fontId="78" fillId="4" borderId="0" xfId="3" applyFont="1" applyFill="1" applyAlignment="1" applyProtection="1">
      <alignment horizontal="left" vertical="top" indent="1"/>
      <protection hidden="1"/>
    </xf>
    <xf numFmtId="6" fontId="37" fillId="4" borderId="6" xfId="0" applyNumberFormat="1" applyFont="1" applyFill="1" applyBorder="1" applyAlignment="1" applyProtection="1">
      <alignment horizontal="left" indent="1" readingOrder="1"/>
      <protection hidden="1"/>
    </xf>
    <xf numFmtId="0" fontId="22" fillId="0" borderId="0" xfId="0" applyFont="1" applyAlignment="1" applyProtection="1">
      <alignment vertical="top" readingOrder="1"/>
      <protection hidden="1"/>
    </xf>
    <xf numFmtId="0" fontId="12" fillId="4" borderId="0" xfId="0" applyFont="1" applyFill="1" applyAlignment="1" applyProtection="1">
      <alignment vertical="center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hidden="1"/>
    </xf>
    <xf numFmtId="0" fontId="58" fillId="4" borderId="0" xfId="0" applyFont="1" applyFill="1" applyAlignment="1" applyProtection="1">
      <alignment horizontal="left" vertical="center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76" fillId="0" borderId="0" xfId="3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60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Prisf&#246;rslag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NOK - Safespring tjenester 2024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Tilbud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SEK - Safesprings tj&#228;nster 2024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DKK - Safespring-tjenester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</xdr:row>
      <xdr:rowOff>0</xdr:rowOff>
    </xdr:from>
    <xdr:to>
      <xdr:col>1</xdr:col>
      <xdr:colOff>1892300</xdr:colOff>
      <xdr:row>130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20E5ABD2-F559-044F-B8A3-27553410361B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169333</xdr:colOff>
      <xdr:row>8</xdr:row>
      <xdr:rowOff>0</xdr:rowOff>
    </xdr:from>
    <xdr:to>
      <xdr:col>5</xdr:col>
      <xdr:colOff>207433</xdr:colOff>
      <xdr:row>9</xdr:row>
      <xdr:rowOff>177800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30CAC1-FE90-FE4E-A0B1-F671CC052FCD}"/>
            </a:ext>
          </a:extLst>
        </xdr:cNvPr>
        <xdr:cNvSpPr/>
      </xdr:nvSpPr>
      <xdr:spPr>
        <a:xfrm>
          <a:off x="5683250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338666</xdr:colOff>
      <xdr:row>8</xdr:row>
      <xdr:rowOff>0</xdr:rowOff>
    </xdr:from>
    <xdr:to>
      <xdr:col>6</xdr:col>
      <xdr:colOff>376766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F44802E-1D85-6F4C-8E86-CEEFAEB21A30}"/>
            </a:ext>
          </a:extLst>
        </xdr:cNvPr>
        <xdr:cNvSpPr/>
      </xdr:nvSpPr>
      <xdr:spPr>
        <a:xfrm>
          <a:off x="6984999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38003DF-F37B-6F43-90A6-6749588B42B6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914400</xdr:colOff>
      <xdr:row>128</xdr:row>
      <xdr:rowOff>139700</xdr:rowOff>
    </xdr:from>
    <xdr:to>
      <xdr:col>7</xdr:col>
      <xdr:colOff>482600</xdr:colOff>
      <xdr:row>130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EB94F3-50F4-0842-AC81-BA6C2B26B4D1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6">
          <a:extLst>
            <a:ext uri="{FF2B5EF4-FFF2-40B4-BE49-F238E27FC236}">
              <a16:creationId xmlns:a16="http://schemas.microsoft.com/office/drawing/2014/main" id="{081F8008-E781-D143-A75F-F1DA1BA8A184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5255481-9E98-714D-A240-15CD56699FC5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DD3EB46-3D85-464D-85C7-ADC0688001A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98443B-12A1-644A-A3B7-590603E3C522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12" name="Rektangel med rundade hörn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3765CA-60A7-CE43-835E-09C921D700D8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13" name="Rektangel med rundade hörn 12">
          <a:extLst>
            <a:ext uri="{FF2B5EF4-FFF2-40B4-BE49-F238E27FC236}">
              <a16:creationId xmlns:a16="http://schemas.microsoft.com/office/drawing/2014/main" id="{FEF90BCD-4E8C-9846-8007-82D80A5572BA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4" name="Rektangel med rundade hörn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613FCF-D7A1-C946-93B3-3E5BC80E63D0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620CDC9F-9F32-5C4F-8C24-207767138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6" name="Rektangel med rundade hörn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965FB9-A83A-D14E-BF1A-5EFE9431BCDC}"/>
            </a:ext>
          </a:extLst>
        </xdr:cNvPr>
        <xdr:cNvSpPr/>
      </xdr:nvSpPr>
      <xdr:spPr>
        <a:xfrm>
          <a:off x="7251700" y="31115000"/>
          <a:ext cx="1828800" cy="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7" name="Rektangel med rundade hörn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5AFE34-DBE1-0B46-A1FE-FF21030DAFAC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F02A2F5-A4D6-434D-83B1-0103ACB9559E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326AD3D-2755-704D-B16E-49ACB61537B2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3CC1E47A-A0BE-1542-A44C-5519BDE4D2F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8"/>
  <sheetViews>
    <sheetView showGridLines="0" tabSelected="1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93"/>
      <c r="C4" s="993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735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8" t="s">
        <v>582</v>
      </c>
      <c r="C15" s="978"/>
      <c r="D15" s="978"/>
      <c r="E15" s="978"/>
      <c r="F15" s="978"/>
      <c r="G15" s="978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8"/>
      <c r="C16" s="978"/>
      <c r="D16" s="978"/>
      <c r="E16" s="978"/>
      <c r="F16" s="978"/>
      <c r="G16" s="978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8"/>
      <c r="C17" s="978"/>
      <c r="D17" s="978"/>
      <c r="E17" s="978"/>
      <c r="F17" s="978"/>
      <c r="G17" s="978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636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94" t="s">
        <v>395</v>
      </c>
      <c r="C19" s="994"/>
      <c r="D19" s="994"/>
      <c r="E19" s="994"/>
      <c r="F19" s="994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396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95" t="s">
        <v>631</v>
      </c>
      <c r="C24" s="995"/>
      <c r="D24" s="995"/>
      <c r="E24" s="995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603</v>
      </c>
      <c r="E25" s="131" t="s">
        <v>602</v>
      </c>
      <c r="F25" s="131" t="s">
        <v>210</v>
      </c>
      <c r="G25" s="131" t="s">
        <v>422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604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605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606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607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608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609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610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611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612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613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614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615</v>
      </c>
      <c r="C37" s="95">
        <v>16</v>
      </c>
      <c r="D37" s="95">
        <v>32</v>
      </c>
      <c r="E37" s="653">
        <v>1000</v>
      </c>
      <c r="F37" s="692">
        <f t="shared" ref="F37:F39" si="3">G37/720</f>
        <v>5.6111111111111107</v>
      </c>
      <c r="G37" s="693">
        <f t="shared" ref="G37:G39" si="4">C37*IAAS_vcpu_SEK+D37*IAAS_ram_SEK+E37*IAAS_nvme_SEK</f>
        <v>4040</v>
      </c>
      <c r="H37" s="46"/>
      <c r="I37" s="691"/>
      <c r="J37" s="46"/>
      <c r="K37" s="839">
        <f t="shared" ref="K37:K39" si="5">ROUNDUP(I37*G37,2)</f>
        <v>0</v>
      </c>
      <c r="M37" s="664"/>
      <c r="P37" s="681"/>
      <c r="R37" s="681"/>
    </row>
    <row r="38" spans="2:19" s="675" customFormat="1" ht="25" customHeight="1">
      <c r="B38" s="445" t="s">
        <v>632</v>
      </c>
      <c r="C38" s="97">
        <v>16</v>
      </c>
      <c r="D38" s="97">
        <v>64</v>
      </c>
      <c r="E38" s="101"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9" s="675" customFormat="1" ht="25" customHeight="1">
      <c r="B39" s="446" t="s">
        <v>616</v>
      </c>
      <c r="C39" s="95">
        <v>32</v>
      </c>
      <c r="D39" s="95">
        <v>64</v>
      </c>
      <c r="E39" s="653">
        <v>1000</v>
      </c>
      <c r="F39" s="692">
        <f t="shared" si="3"/>
        <v>9.8333333333333339</v>
      </c>
      <c r="G39" s="693">
        <f t="shared" si="4"/>
        <v>7080</v>
      </c>
      <c r="H39" s="46"/>
      <c r="I39" s="691"/>
      <c r="J39" s="46"/>
      <c r="K39" s="839">
        <f t="shared" si="5"/>
        <v>0</v>
      </c>
      <c r="M39" s="664"/>
      <c r="P39" s="681"/>
      <c r="R39" s="681"/>
    </row>
    <row r="40" spans="2:19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s="675" customFormat="1" ht="25" customHeight="1">
      <c r="B42" s="694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9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9" s="651" customFormat="1" ht="25" customHeight="1">
      <c r="B44" s="652" t="s">
        <v>630</v>
      </c>
      <c r="C44" s="650"/>
      <c r="D44" s="650"/>
      <c r="K44" s="842"/>
      <c r="M44" s="664"/>
    </row>
    <row r="45" spans="2:19" ht="25" customHeight="1">
      <c r="B45" s="995" t="s">
        <v>631</v>
      </c>
      <c r="C45" s="995"/>
      <c r="D45" s="995"/>
      <c r="E45" s="995"/>
      <c r="M45" s="664"/>
    </row>
    <row r="46" spans="2:19" s="706" customFormat="1" ht="25" customHeight="1">
      <c r="B46" s="444" t="s">
        <v>208</v>
      </c>
      <c r="C46" s="11" t="s">
        <v>10</v>
      </c>
      <c r="D46" s="11" t="s">
        <v>11</v>
      </c>
      <c r="E46" s="132" t="s">
        <v>433</v>
      </c>
      <c r="F46" s="12" t="s">
        <v>210</v>
      </c>
      <c r="G46" s="131" t="s">
        <v>422</v>
      </c>
      <c r="H46" s="705"/>
      <c r="I46" s="687" t="s">
        <v>212</v>
      </c>
      <c r="J46" s="686"/>
      <c r="K46" s="837" t="s">
        <v>215</v>
      </c>
      <c r="M46" s="664"/>
      <c r="O46" s="13"/>
      <c r="P46" s="707"/>
      <c r="Q46" s="707"/>
      <c r="R46" s="707"/>
      <c r="S46" s="13"/>
    </row>
    <row r="47" spans="2:19" s="675" customFormat="1" ht="25" customHeight="1">
      <c r="B47" s="445" t="s">
        <v>617</v>
      </c>
      <c r="C47" s="97">
        <v>1</v>
      </c>
      <c r="D47" s="97">
        <v>2</v>
      </c>
      <c r="E47" s="654">
        <v>0</v>
      </c>
      <c r="F47" s="689">
        <f t="shared" ref="F47:F55" si="9">G47/720</f>
        <v>0.2638888888888889</v>
      </c>
      <c r="G47" s="690">
        <f t="shared" ref="G47:G55" si="10">C47*IAAS_vcpu_SEK+D47*IAAS_ram_SEK+E47*IAAS_ssd_SEK</f>
        <v>190</v>
      </c>
      <c r="H47" s="44"/>
      <c r="I47" s="691"/>
      <c r="J47" s="44"/>
      <c r="K47" s="838">
        <f t="shared" ref="K47:K55" si="11">ROUNDUP(I47*G47,2)</f>
        <v>0</v>
      </c>
      <c r="M47" s="664"/>
      <c r="N47" s="708"/>
      <c r="O47" s="709"/>
    </row>
    <row r="48" spans="2:19" s="675" customFormat="1" ht="25" customHeight="1">
      <c r="B48" s="446" t="s">
        <v>618</v>
      </c>
      <c r="C48" s="95">
        <v>1</v>
      </c>
      <c r="D48" s="95">
        <v>4</v>
      </c>
      <c r="E48" s="655"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">
        <v>619</v>
      </c>
      <c r="C49" s="97">
        <v>2</v>
      </c>
      <c r="D49" s="97">
        <v>4</v>
      </c>
      <c r="E49" s="654"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">
        <v>620</v>
      </c>
      <c r="C50" s="95">
        <v>2</v>
      </c>
      <c r="D50" s="95">
        <v>8</v>
      </c>
      <c r="E50" s="655"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">
        <v>621</v>
      </c>
      <c r="C51" s="97">
        <v>4</v>
      </c>
      <c r="D51" s="97">
        <v>8</v>
      </c>
      <c r="E51" s="654">
        <v>0</v>
      </c>
      <c r="F51" s="689">
        <f t="shared" si="9"/>
        <v>1.0555555555555556</v>
      </c>
      <c r="G51" s="690">
        <f t="shared" si="10"/>
        <v>760</v>
      </c>
      <c r="H51" s="44"/>
      <c r="I51" s="691"/>
      <c r="J51" s="44"/>
      <c r="K51" s="838">
        <f t="shared" si="11"/>
        <v>0</v>
      </c>
      <c r="L51" s="710"/>
      <c r="M51" s="664"/>
      <c r="N51" s="708"/>
    </row>
    <row r="52" spans="1:20" s="675" customFormat="1" ht="25" customHeight="1">
      <c r="B52" s="446" t="s">
        <v>622</v>
      </c>
      <c r="C52" s="95">
        <v>4</v>
      </c>
      <c r="D52" s="95">
        <v>16</v>
      </c>
      <c r="E52" s="655">
        <v>0</v>
      </c>
      <c r="F52" s="692">
        <f t="shared" si="9"/>
        <v>1.6666666666666667</v>
      </c>
      <c r="G52" s="693">
        <f t="shared" si="10"/>
        <v>1200</v>
      </c>
      <c r="H52" s="46"/>
      <c r="I52" s="691"/>
      <c r="J52" s="46"/>
      <c r="K52" s="839">
        <f t="shared" si="11"/>
        <v>0</v>
      </c>
      <c r="L52" s="710"/>
      <c r="M52" s="664"/>
    </row>
    <row r="53" spans="1:20" s="675" customFormat="1" ht="25" customHeight="1">
      <c r="B53" s="445" t="s">
        <v>623</v>
      </c>
      <c r="C53" s="97">
        <v>8</v>
      </c>
      <c r="D53" s="97">
        <v>16</v>
      </c>
      <c r="E53" s="654"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</row>
    <row r="54" spans="1:20" s="675" customFormat="1" ht="25" customHeight="1">
      <c r="B54" s="446" t="s">
        <v>624</v>
      </c>
      <c r="C54" s="95">
        <v>8</v>
      </c>
      <c r="D54" s="95">
        <v>32</v>
      </c>
      <c r="E54" s="655"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">
        <v>625</v>
      </c>
      <c r="C55" s="97">
        <v>16</v>
      </c>
      <c r="D55" s="97">
        <v>32</v>
      </c>
      <c r="E55" s="654"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">
        <v>626</v>
      </c>
      <c r="C56" s="95">
        <v>16</v>
      </c>
      <c r="D56" s="95">
        <v>64</v>
      </c>
      <c r="E56" s="655">
        <v>0</v>
      </c>
      <c r="F56" s="692">
        <f t="shared" ref="F56" si="12">G56/720</f>
        <v>6.666666666666667</v>
      </c>
      <c r="G56" s="693">
        <f t="shared" ref="G56" si="13">C56*IAAS_vcpu_SEK+D56*IAAS_ram_SEK+E56*IAAS_ssd_SEK</f>
        <v>4800</v>
      </c>
      <c r="H56" s="46"/>
      <c r="I56" s="691"/>
      <c r="J56" s="46"/>
      <c r="K56" s="839">
        <f t="shared" ref="K56" si="14">ROUNDUP(I56*G56,2)</f>
        <v>0</v>
      </c>
      <c r="L56" s="710"/>
      <c r="M56" s="664"/>
      <c r="P56" s="681"/>
      <c r="Q56" s="681"/>
      <c r="R56" s="681"/>
    </row>
    <row r="57" spans="1:20" s="873" customFormat="1" ht="25" customHeight="1">
      <c r="A57" s="675"/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N57" s="675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96" t="s">
        <v>577</v>
      </c>
      <c r="C60" s="996"/>
      <c r="D60" s="996"/>
      <c r="E60" s="996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3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ref="G64:G65" si="16">H64/720</f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6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96" t="s">
        <v>577</v>
      </c>
      <c r="C70" s="996"/>
      <c r="D70" s="996"/>
      <c r="E70" s="996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7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7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7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436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494</v>
      </c>
      <c r="M79" s="664"/>
    </row>
    <row r="80" spans="2:20" s="729" customFormat="1" ht="25" customHeight="1">
      <c r="B80" s="444" t="s">
        <v>208</v>
      </c>
      <c r="C80" s="24" t="s">
        <v>220</v>
      </c>
      <c r="D80" s="24"/>
      <c r="E80" s="24"/>
      <c r="F80" s="132" t="s">
        <v>210</v>
      </c>
      <c r="G80" s="131" t="s">
        <v>422</v>
      </c>
      <c r="H80" s="24"/>
      <c r="I80" s="728" t="s">
        <v>66</v>
      </c>
      <c r="J80" s="24"/>
      <c r="K80" s="612" t="s">
        <v>483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0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0" ht="25" customHeight="1">
      <c r="B85" s="452"/>
      <c r="C85" s="452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0" s="4" customFormat="1" ht="25" customHeight="1">
      <c r="B87" s="978" t="s">
        <v>583</v>
      </c>
      <c r="C87" s="978"/>
      <c r="D87" s="978"/>
      <c r="E87" s="978"/>
      <c r="F87" s="978"/>
      <c r="G87" s="978"/>
      <c r="H87" s="978"/>
      <c r="I87" s="978"/>
      <c r="J87" s="978"/>
      <c r="K87" s="978"/>
      <c r="M87" s="664"/>
    </row>
    <row r="88" spans="2:20" s="4" customFormat="1" ht="25" customHeight="1">
      <c r="B88" s="978"/>
      <c r="C88" s="978"/>
      <c r="D88" s="978"/>
      <c r="E88" s="978"/>
      <c r="F88" s="978"/>
      <c r="G88" s="978"/>
      <c r="H88" s="978"/>
      <c r="I88" s="978"/>
      <c r="J88" s="978"/>
      <c r="K88" s="978"/>
      <c r="M88" s="664"/>
    </row>
    <row r="89" spans="2:20" s="4" customFormat="1" ht="25" customHeight="1">
      <c r="B89" s="978"/>
      <c r="C89" s="978"/>
      <c r="D89" s="978"/>
      <c r="E89" s="978"/>
      <c r="F89" s="978"/>
      <c r="G89" s="978"/>
      <c r="H89" s="978"/>
      <c r="I89" s="978"/>
      <c r="J89" s="978"/>
      <c r="K89" s="978"/>
      <c r="M89" s="664"/>
    </row>
    <row r="90" spans="2:20" s="4" customFormat="1" ht="25" customHeight="1">
      <c r="B90" s="549" t="s">
        <v>594</v>
      </c>
      <c r="C90" s="549"/>
      <c r="D90" s="549"/>
      <c r="E90" s="549"/>
      <c r="F90" s="549"/>
      <c r="H90" s="672"/>
      <c r="J90" s="674"/>
      <c r="K90" s="833"/>
      <c r="M90" s="664"/>
    </row>
    <row r="91" spans="2:20" s="503" customFormat="1" ht="25" customHeight="1">
      <c r="B91" s="465" t="s">
        <v>395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0" s="4" customFormat="1" ht="25" customHeight="1">
      <c r="B92" s="552" t="s">
        <v>396</v>
      </c>
      <c r="C92" s="74"/>
      <c r="D92" s="74"/>
      <c r="E92" s="133"/>
      <c r="F92" s="133"/>
      <c r="G92" s="677"/>
      <c r="H92" s="678"/>
      <c r="I92" s="677"/>
      <c r="J92" s="679"/>
      <c r="K92" s="834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488</v>
      </c>
      <c r="H94" s="24"/>
      <c r="I94" s="728" t="s">
        <v>224</v>
      </c>
      <c r="J94" s="131"/>
      <c r="K94" s="612" t="s">
        <v>83</v>
      </c>
      <c r="L94" s="680"/>
      <c r="M94" s="664"/>
      <c r="N94" s="675"/>
    </row>
    <row r="95" spans="2:20" s="752" customFormat="1" ht="25" customHeight="1">
      <c r="B95" s="445" t="s">
        <v>484</v>
      </c>
      <c r="C95" s="912" t="s">
        <v>580</v>
      </c>
      <c r="D95" s="91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 t="s">
        <v>581</v>
      </c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92" t="s">
        <v>225</v>
      </c>
      <c r="E100" s="992"/>
      <c r="F100" s="992"/>
      <c r="G100" s="992"/>
      <c r="H100" s="992"/>
      <c r="I100" s="992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91">
        <f>S3_archive.50_SEK</f>
        <v>350</v>
      </c>
      <c r="E102" s="991"/>
      <c r="F102" s="991"/>
      <c r="G102" s="991"/>
      <c r="H102" s="991"/>
      <c r="I102" s="991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80">
        <f>S3_archive.500_SEK</f>
        <v>200</v>
      </c>
      <c r="E104" s="980"/>
      <c r="F104" s="980"/>
      <c r="G104" s="980"/>
      <c r="H104" s="980"/>
      <c r="I104" s="980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78" t="s">
        <v>589</v>
      </c>
      <c r="C110" s="978"/>
      <c r="D110" s="978"/>
      <c r="E110" s="978"/>
      <c r="F110" s="978"/>
      <c r="G110" s="978"/>
      <c r="H110" s="672"/>
      <c r="J110" s="674"/>
      <c r="K110" s="833"/>
      <c r="L110" s="674"/>
      <c r="M110" s="664"/>
    </row>
    <row r="111" spans="2:19" s="4" customFormat="1" ht="25" customHeight="1">
      <c r="B111" s="978"/>
      <c r="C111" s="978"/>
      <c r="D111" s="978"/>
      <c r="E111" s="978"/>
      <c r="F111" s="978"/>
      <c r="G111" s="978"/>
      <c r="H111" s="672"/>
      <c r="J111" s="674"/>
      <c r="K111" s="833"/>
      <c r="L111" s="674"/>
      <c r="M111" s="664"/>
    </row>
    <row r="112" spans="2:19" s="4" customFormat="1" ht="25" customHeight="1">
      <c r="B112" s="978"/>
      <c r="C112" s="978"/>
      <c r="D112" s="978"/>
      <c r="E112" s="978"/>
      <c r="F112" s="978"/>
      <c r="G112" s="978"/>
      <c r="H112" s="672"/>
      <c r="J112" s="674"/>
      <c r="K112" s="833"/>
      <c r="L112" s="674"/>
      <c r="M112" s="664"/>
    </row>
    <row r="113" spans="2:32" s="4" customFormat="1" ht="25" customHeight="1">
      <c r="B113" s="549" t="s">
        <v>637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465" t="s">
        <v>406</v>
      </c>
      <c r="C114" s="465"/>
      <c r="D114" s="465"/>
      <c r="E114" s="465"/>
      <c r="F114" s="465"/>
      <c r="G114" s="677"/>
      <c r="H114" s="678"/>
      <c r="I114" s="677"/>
      <c r="J114" s="679"/>
      <c r="K114" s="834"/>
      <c r="L114" s="746"/>
      <c r="M114" s="664"/>
    </row>
    <row r="115" spans="2:32" s="8" customFormat="1" ht="25" customHeight="1">
      <c r="B115" s="552" t="s">
        <v>434</v>
      </c>
      <c r="C115" s="74"/>
      <c r="D115" s="74"/>
      <c r="E115" s="133"/>
      <c r="F115" s="133"/>
      <c r="G115" s="677"/>
      <c r="H115" s="678"/>
      <c r="I115" s="677"/>
      <c r="J115" s="679"/>
      <c r="K115" s="834"/>
      <c r="L115" s="746"/>
      <c r="M115" s="664"/>
      <c r="O115" s="675"/>
      <c r="P115" s="675"/>
      <c r="Q115" s="675"/>
      <c r="R115" s="675"/>
      <c r="S115" s="675"/>
      <c r="T115" s="675"/>
      <c r="U115" s="675"/>
      <c r="X115" s="1"/>
      <c r="Y115" s="1"/>
      <c r="Z115" s="1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228</v>
      </c>
      <c r="F117" s="769"/>
      <c r="G117" s="24" t="s">
        <v>552</v>
      </c>
      <c r="H117" s="24"/>
      <c r="I117" s="728" t="s">
        <v>90</v>
      </c>
      <c r="J117" s="728" t="s">
        <v>440</v>
      </c>
      <c r="K117" s="612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78" t="s">
        <v>427</v>
      </c>
      <c r="C125" s="978"/>
      <c r="D125" s="978"/>
      <c r="E125" s="978"/>
      <c r="F125" s="978"/>
      <c r="G125" s="978"/>
      <c r="H125" s="672"/>
      <c r="J125" s="674"/>
      <c r="K125" s="833"/>
      <c r="L125" s="674"/>
      <c r="M125" s="664"/>
    </row>
    <row r="126" spans="2:32" s="4" customFormat="1" ht="25" hidden="1" customHeight="1">
      <c r="B126" s="978"/>
      <c r="C126" s="978"/>
      <c r="D126" s="978"/>
      <c r="E126" s="978"/>
      <c r="F126" s="978"/>
      <c r="G126" s="978"/>
      <c r="H126" s="672"/>
      <c r="J126" s="674"/>
      <c r="K126" s="833"/>
      <c r="L126" s="674"/>
      <c r="M126" s="664"/>
    </row>
    <row r="127" spans="2:32" s="4" customFormat="1" ht="25" hidden="1" customHeight="1">
      <c r="B127" s="978"/>
      <c r="C127" s="978"/>
      <c r="D127" s="978"/>
      <c r="E127" s="978"/>
      <c r="F127" s="978"/>
      <c r="G127" s="978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584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465" t="s">
        <v>585</v>
      </c>
      <c r="C129" s="503"/>
      <c r="D129" s="503"/>
      <c r="E129" s="503"/>
      <c r="F129" s="503"/>
      <c r="H129" s="678"/>
      <c r="I129" s="677"/>
      <c r="J129" s="679"/>
      <c r="K129" s="834"/>
      <c r="L129" s="746"/>
      <c r="M129" s="664"/>
    </row>
    <row r="130" spans="2:32" s="8" customFormat="1" ht="25" hidden="1" customHeight="1">
      <c r="B130" s="638"/>
      <c r="C130" s="638"/>
      <c r="D130" s="638"/>
      <c r="E130" s="638"/>
      <c r="F130" s="133"/>
      <c r="G130" s="677"/>
      <c r="H130" s="678"/>
      <c r="I130" s="677"/>
      <c r="J130" s="679"/>
      <c r="K130" s="834"/>
      <c r="L130" s="746"/>
      <c r="M130" s="664"/>
      <c r="O130" s="675"/>
      <c r="P130" s="675"/>
      <c r="Q130" s="675"/>
      <c r="R130" s="675"/>
      <c r="S130" s="675"/>
      <c r="T130" s="675"/>
      <c r="U130" s="675"/>
      <c r="X130" s="1"/>
      <c r="Y130" s="1"/>
      <c r="Z130" s="1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79" t="s">
        <v>430</v>
      </c>
      <c r="D132" s="979"/>
      <c r="E132" s="979" t="s">
        <v>431</v>
      </c>
      <c r="F132" s="979"/>
      <c r="G132" s="979" t="s">
        <v>228</v>
      </c>
      <c r="H132" s="979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457</v>
      </c>
      <c r="C133" s="985" t="s">
        <v>517</v>
      </c>
      <c r="D133" s="985"/>
      <c r="E133" s="987" t="s">
        <v>429</v>
      </c>
      <c r="F133" s="987"/>
      <c r="G133" s="981">
        <v>15000</v>
      </c>
      <c r="H133" s="982"/>
      <c r="I133" s="749"/>
      <c r="J133" s="911">
        <v>0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458</v>
      </c>
      <c r="C134" s="986" t="s">
        <v>428</v>
      </c>
      <c r="D134" s="986"/>
      <c r="E134" s="988" t="s">
        <v>432</v>
      </c>
      <c r="F134" s="988"/>
      <c r="G134" s="983">
        <v>24000</v>
      </c>
      <c r="H134" s="984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8" t="s">
        <v>639</v>
      </c>
      <c r="C139" s="978"/>
      <c r="D139" s="978"/>
      <c r="E139" s="978"/>
      <c r="F139" s="978"/>
      <c r="G139" s="978"/>
      <c r="H139" s="672"/>
      <c r="J139" s="674"/>
      <c r="K139" s="833"/>
      <c r="M139" s="664"/>
    </row>
    <row r="140" spans="2:32" s="4" customFormat="1" ht="25" customHeight="1">
      <c r="B140" s="978"/>
      <c r="C140" s="978"/>
      <c r="D140" s="978"/>
      <c r="E140" s="978"/>
      <c r="F140" s="978"/>
      <c r="G140" s="978"/>
      <c r="H140" s="672"/>
      <c r="J140" s="674"/>
      <c r="K140" s="833"/>
      <c r="M140" s="664"/>
    </row>
    <row r="141" spans="2:32" s="4" customFormat="1" ht="25" customHeight="1">
      <c r="B141" s="978"/>
      <c r="C141" s="978"/>
      <c r="D141" s="978"/>
      <c r="E141" s="978"/>
      <c r="F141" s="978"/>
      <c r="G141" s="978"/>
      <c r="H141" s="672"/>
      <c r="J141" s="674"/>
      <c r="K141" s="833"/>
      <c r="M141" s="664"/>
    </row>
    <row r="142" spans="2:32" s="4" customFormat="1" ht="25" customHeight="1">
      <c r="B142" s="465" t="s">
        <v>406</v>
      </c>
      <c r="C142" s="503"/>
      <c r="D142" s="503"/>
      <c r="E142" s="503"/>
      <c r="F142" s="503"/>
      <c r="H142" s="672"/>
      <c r="J142" s="674"/>
      <c r="K142" s="833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377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492</v>
      </c>
      <c r="M145" s="664"/>
    </row>
    <row r="146" spans="2:18" ht="25" customHeight="1">
      <c r="B146" s="470" t="s">
        <v>208</v>
      </c>
      <c r="C146" s="23" t="s">
        <v>234</v>
      </c>
      <c r="D146" s="23"/>
      <c r="E146" s="24" t="s">
        <v>220</v>
      </c>
      <c r="F146" s="24"/>
      <c r="G146" s="24"/>
      <c r="H146" s="24"/>
      <c r="I146" s="24"/>
      <c r="J146" s="23" t="s">
        <v>235</v>
      </c>
      <c r="K146" s="612" t="s">
        <v>211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236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236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237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237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398</v>
      </c>
      <c r="F151" s="37"/>
      <c r="G151" s="37"/>
      <c r="H151" s="37"/>
      <c r="I151" s="37"/>
      <c r="J151" s="770" t="s">
        <v>238</v>
      </c>
      <c r="K151" s="555" t="str">
        <f>NET_mgn.slb_SEK</f>
        <v>Begär offert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638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718</v>
      </c>
      <c r="M158" s="664"/>
    </row>
    <row r="159" spans="2:18" ht="25" customHeight="1">
      <c r="B159" s="470" t="s">
        <v>208</v>
      </c>
      <c r="C159" s="23"/>
      <c r="D159" s="23"/>
      <c r="E159" s="23" t="s">
        <v>220</v>
      </c>
      <c r="F159" s="24"/>
      <c r="G159" s="24"/>
      <c r="H159" s="24"/>
      <c r="I159" s="24"/>
      <c r="J159" s="23" t="s">
        <v>235</v>
      </c>
      <c r="K159" s="612" t="s">
        <v>211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828">
        <f>SW_win.ser.201X_SEK</f>
        <v>175</v>
      </c>
      <c r="L160" s="740"/>
      <c r="M160" s="664"/>
      <c r="N160" s="742"/>
      <c r="O160" s="8"/>
      <c r="Q160" s="675"/>
      <c r="R160" s="675"/>
    </row>
    <row r="161" spans="2:18" s="4" customFormat="1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829">
        <f>SW_ms.sql.ser_SEK</f>
        <v>1229</v>
      </c>
      <c r="M161" s="664"/>
      <c r="N161" s="742"/>
      <c r="O161" s="8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828">
        <f>SW_ms.sql.ser.ent_SEK</f>
        <v>4766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 t="s">
        <v>94</v>
      </c>
      <c r="K163" s="829" t="str">
        <f>SW_nextcloud_SEK</f>
        <v>Begär offert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 t="s">
        <v>94</v>
      </c>
      <c r="K164" s="828" t="str">
        <f>SW_suse_SEK</f>
        <v>Begär offert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857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554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239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441</v>
      </c>
      <c r="M169" s="664"/>
    </row>
    <row r="170" spans="2:18" ht="25" customHeight="1">
      <c r="B170" s="470" t="s">
        <v>208</v>
      </c>
      <c r="C170" s="23"/>
      <c r="D170" s="23"/>
      <c r="E170" s="23" t="s">
        <v>220</v>
      </c>
      <c r="F170" s="24"/>
      <c r="G170" s="24"/>
      <c r="H170" s="24"/>
      <c r="I170" s="24"/>
      <c r="J170" s="131"/>
      <c r="K170" s="612" t="s">
        <v>211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868" t="str">
        <f>PAAS_man.kubernetes_SEK</f>
        <v>Begär offert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867" t="str">
        <f>PAAS_man.postgres.sql_SEK</f>
        <v>Begär offert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725</v>
      </c>
      <c r="F173" s="30"/>
      <c r="G173" s="30"/>
      <c r="H173" s="30"/>
      <c r="I173" s="30"/>
      <c r="J173" s="40"/>
      <c r="K173" s="868" t="str">
        <f>PAAS_man.elasticsearch_SEK</f>
        <v>Begär offert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650</v>
      </c>
      <c r="F174" s="771"/>
      <c r="G174" s="771"/>
      <c r="H174" s="771"/>
      <c r="I174" s="771"/>
      <c r="J174" s="779"/>
      <c r="K174" s="867" t="str">
        <f>PAAS_openshift_SEK</f>
        <v>Begär offert</v>
      </c>
      <c r="M174" s="664"/>
      <c r="N174" s="742"/>
      <c r="O174" s="8"/>
    </row>
    <row r="175" spans="2:18" ht="25" customHeight="1">
      <c r="B175" s="134" t="s">
        <v>471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868" t="str">
        <f>PAAS_man.nats_SEK</f>
        <v>Begär offert</v>
      </c>
      <c r="M175" s="664"/>
      <c r="N175" s="742"/>
      <c r="O175" s="8"/>
    </row>
    <row r="176" spans="2:18" ht="25" customHeight="1">
      <c r="B176" s="137" t="s">
        <v>472</v>
      </c>
      <c r="C176" s="130"/>
      <c r="D176" s="38"/>
      <c r="E176" s="38" t="s">
        <v>150</v>
      </c>
      <c r="F176" s="771"/>
      <c r="G176" s="771"/>
      <c r="H176" s="771"/>
      <c r="I176" s="771"/>
      <c r="J176" s="779"/>
      <c r="K176" s="867" t="str">
        <f>PAAS_man.mariadb_SEK</f>
        <v>Begär offert</v>
      </c>
      <c r="M176" s="664"/>
      <c r="N176" s="742"/>
      <c r="O176" s="8"/>
    </row>
    <row r="177" spans="2:20" ht="25" customHeight="1">
      <c r="B177" s="134" t="s">
        <v>435</v>
      </c>
      <c r="C177" s="129"/>
      <c r="D177" s="30"/>
      <c r="E177" s="30" t="s">
        <v>144</v>
      </c>
      <c r="F177" s="30"/>
      <c r="G177" s="30"/>
      <c r="H177" s="30"/>
      <c r="I177" s="30"/>
      <c r="J177" s="40"/>
      <c r="K177" s="868" t="s">
        <v>245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857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K180" s="846"/>
      <c r="L180" s="742"/>
      <c r="M180" s="664"/>
      <c r="N180" s="675"/>
      <c r="O180" s="675"/>
    </row>
    <row r="181" spans="2:20" s="4" customFormat="1" ht="25" customHeight="1">
      <c r="B181" s="978" t="s">
        <v>241</v>
      </c>
      <c r="C181" s="978"/>
      <c r="D181" s="978"/>
      <c r="E181" s="978"/>
      <c r="F181" s="978"/>
      <c r="G181" s="978"/>
      <c r="H181" s="780"/>
      <c r="J181" s="674"/>
      <c r="K181" s="833"/>
      <c r="M181" s="664"/>
    </row>
    <row r="182" spans="2:20" s="4" customFormat="1" ht="25" customHeight="1">
      <c r="B182" s="978"/>
      <c r="C182" s="978"/>
      <c r="D182" s="978"/>
      <c r="E182" s="978"/>
      <c r="F182" s="978"/>
      <c r="G182" s="978"/>
      <c r="H182" s="780"/>
      <c r="J182" s="674"/>
      <c r="K182" s="833"/>
      <c r="M182" s="664"/>
    </row>
    <row r="183" spans="2:20" s="4" customFormat="1" ht="25" customHeight="1">
      <c r="B183" s="978"/>
      <c r="C183" s="978"/>
      <c r="D183" s="978"/>
      <c r="E183" s="978"/>
      <c r="F183" s="978"/>
      <c r="G183" s="978"/>
      <c r="H183" s="780"/>
      <c r="J183" s="674"/>
      <c r="K183" s="833"/>
      <c r="M183" s="664"/>
    </row>
    <row r="184" spans="2:20" s="4" customFormat="1" ht="25" customHeight="1">
      <c r="B184" s="999" t="s">
        <v>493</v>
      </c>
      <c r="C184" s="999"/>
      <c r="D184" s="999"/>
      <c r="E184" s="999"/>
      <c r="F184" s="999"/>
      <c r="H184" s="780"/>
      <c r="J184" s="674"/>
      <c r="K184" s="833"/>
      <c r="M184" s="664"/>
    </row>
    <row r="185" spans="2:20" s="4" customFormat="1" ht="25" customHeight="1">
      <c r="B185" s="994" t="s">
        <v>406</v>
      </c>
      <c r="C185" s="994"/>
      <c r="D185" s="994"/>
      <c r="E185" s="994"/>
      <c r="F185" s="994"/>
      <c r="G185" s="677"/>
      <c r="H185" s="678"/>
      <c r="I185" s="677"/>
      <c r="J185" s="679"/>
      <c r="K185" s="834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834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858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489</v>
      </c>
      <c r="M188" s="664"/>
    </row>
    <row r="189" spans="2:20" ht="25" customHeight="1">
      <c r="B189" s="470" t="s">
        <v>208</v>
      </c>
      <c r="C189" s="23"/>
      <c r="D189" s="23" t="s">
        <v>220</v>
      </c>
      <c r="E189" s="132"/>
      <c r="F189" s="24"/>
      <c r="G189" s="131"/>
      <c r="H189" s="131"/>
      <c r="I189" s="23" t="s">
        <v>235</v>
      </c>
      <c r="J189" s="23"/>
      <c r="K189" s="612" t="s">
        <v>92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407</v>
      </c>
      <c r="E190" s="40"/>
      <c r="F190" s="30"/>
      <c r="G190" s="40"/>
      <c r="H190" s="40"/>
      <c r="I190" s="775" t="s">
        <v>94</v>
      </c>
      <c r="J190" s="775"/>
      <c r="K190" s="555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640</v>
      </c>
      <c r="E191" s="31"/>
      <c r="F191" s="771"/>
      <c r="G191" s="779"/>
      <c r="H191" s="779"/>
      <c r="I191" s="773" t="s">
        <v>242</v>
      </c>
      <c r="J191" s="773"/>
      <c r="K191" s="554" t="s">
        <v>486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641</v>
      </c>
      <c r="E192" s="129"/>
      <c r="F192" s="129"/>
      <c r="G192" s="129"/>
      <c r="H192" s="40"/>
      <c r="I192" s="770" t="s">
        <v>244</v>
      </c>
      <c r="J192" s="770"/>
      <c r="K192" s="555" t="s">
        <v>245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857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554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247</v>
      </c>
      <c r="C195" s="878"/>
      <c r="D195" s="878"/>
      <c r="F195" s="878"/>
      <c r="G195" s="878"/>
      <c r="H195" s="878"/>
      <c r="I195" s="879"/>
      <c r="J195" s="879"/>
      <c r="K195" s="704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490</v>
      </c>
      <c r="M196" s="664"/>
    </row>
    <row r="197" spans="2:18" ht="25" customHeight="1">
      <c r="B197" s="470" t="s">
        <v>208</v>
      </c>
      <c r="C197" s="23"/>
      <c r="D197" s="23" t="s">
        <v>220</v>
      </c>
      <c r="E197" s="132"/>
      <c r="F197" s="24"/>
      <c r="G197" s="131"/>
      <c r="H197" s="131"/>
      <c r="I197" s="23" t="s">
        <v>235</v>
      </c>
      <c r="J197" s="23"/>
      <c r="K197" s="612" t="s">
        <v>92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244</v>
      </c>
      <c r="J198" s="770"/>
      <c r="K198" s="629">
        <f>PS_consult.jun_SEK</f>
        <v>1127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244</v>
      </c>
      <c r="J199" s="773"/>
      <c r="K199" s="867">
        <f>PS_consult.sen_SEK</f>
        <v>1374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244</v>
      </c>
      <c r="J200" s="770"/>
      <c r="K200" s="629">
        <f>PS_cloudarch.jun_SEK</f>
        <v>1277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244</v>
      </c>
      <c r="J201" s="773"/>
      <c r="K201" s="867">
        <f>PS_cloudarch.sen_SEK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244</v>
      </c>
      <c r="J202" s="770"/>
      <c r="K202" s="629">
        <f>PS_pm.jun_SEK</f>
        <v>1139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244</v>
      </c>
      <c r="J203" s="773"/>
      <c r="K203" s="867">
        <f>PS_pm.sen_SEK</f>
        <v>1374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857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554"/>
      <c r="M205" s="664"/>
      <c r="N205" s="742"/>
      <c r="O205" s="8"/>
    </row>
    <row r="206" spans="2:18" ht="25" customHeight="1">
      <c r="B206" s="649" t="s">
        <v>248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491</v>
      </c>
      <c r="M207" s="664"/>
    </row>
    <row r="208" spans="2:18" ht="25" customHeight="1">
      <c r="B208" s="470" t="s">
        <v>208</v>
      </c>
      <c r="C208" s="23"/>
      <c r="D208" s="23" t="s">
        <v>220</v>
      </c>
      <c r="E208" s="132"/>
      <c r="F208" s="24"/>
      <c r="G208" s="23" t="s">
        <v>249</v>
      </c>
      <c r="H208" s="23"/>
      <c r="I208" s="23" t="s">
        <v>235</v>
      </c>
      <c r="J208" s="23"/>
      <c r="K208" s="612" t="s">
        <v>92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250</v>
      </c>
      <c r="E209" s="40"/>
      <c r="F209" s="30"/>
      <c r="G209" s="770" t="s">
        <v>251</v>
      </c>
      <c r="H209" s="770"/>
      <c r="I209" s="770" t="s">
        <v>252</v>
      </c>
      <c r="J209" s="770"/>
      <c r="K209" s="555" t="s">
        <v>245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642</v>
      </c>
      <c r="E210" s="31"/>
      <c r="F210" s="771"/>
      <c r="G210" s="773" t="s">
        <v>251</v>
      </c>
      <c r="H210" s="773"/>
      <c r="I210" s="773" t="s">
        <v>252</v>
      </c>
      <c r="J210" s="773"/>
      <c r="K210" s="554" t="s">
        <v>245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643</v>
      </c>
      <c r="E211" s="40"/>
      <c r="F211" s="30"/>
      <c r="G211" s="770" t="s">
        <v>253</v>
      </c>
      <c r="H211" s="770"/>
      <c r="I211" s="770" t="s">
        <v>252</v>
      </c>
      <c r="J211" s="770"/>
      <c r="K211" s="555" t="s">
        <v>245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254</v>
      </c>
      <c r="E212" s="31"/>
      <c r="F212" s="771"/>
      <c r="G212" s="773" t="s">
        <v>253</v>
      </c>
      <c r="H212" s="773"/>
      <c r="I212" s="773" t="s">
        <v>252</v>
      </c>
      <c r="J212" s="773"/>
      <c r="K212" s="554" t="s">
        <v>245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857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847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8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8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997" t="s">
        <v>255</v>
      </c>
      <c r="C219" s="997"/>
      <c r="D219" s="997"/>
      <c r="E219" s="997"/>
      <c r="F219" s="997"/>
      <c r="G219" s="997"/>
      <c r="H219" s="666"/>
      <c r="I219" s="793"/>
      <c r="J219" s="3"/>
      <c r="K219" s="831"/>
      <c r="L219" s="3"/>
      <c r="M219" s="664"/>
    </row>
    <row r="220" spans="1:18" s="4" customFormat="1" ht="25" customHeight="1">
      <c r="A220" s="3"/>
      <c r="B220" s="997"/>
      <c r="C220" s="997"/>
      <c r="D220" s="997"/>
      <c r="E220" s="997"/>
      <c r="F220" s="997"/>
      <c r="G220" s="997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97"/>
      <c r="C221" s="997"/>
      <c r="D221" s="997"/>
      <c r="E221" s="997"/>
      <c r="F221" s="997"/>
      <c r="G221" s="997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98" t="s">
        <v>406</v>
      </c>
      <c r="C222" s="998"/>
      <c r="D222" s="998"/>
      <c r="E222" s="998"/>
      <c r="F222" s="998"/>
      <c r="G222" s="3"/>
      <c r="H222" s="666"/>
      <c r="I222" s="793"/>
      <c r="J222" s="3"/>
      <c r="K222" s="831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422" t="s">
        <v>644</v>
      </c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18" t="s">
        <v>202</v>
      </c>
      <c r="C225" s="62"/>
      <c r="D225" s="62"/>
      <c r="E225" s="62"/>
      <c r="F225" s="62"/>
      <c r="G225" s="3"/>
      <c r="H225" s="666"/>
      <c r="I225" s="3"/>
      <c r="J225" s="667"/>
      <c r="K225" s="831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8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8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482</v>
      </c>
      <c r="C228" s="56"/>
      <c r="D228" s="57"/>
      <c r="E228" s="56"/>
      <c r="F228" s="659"/>
      <c r="G228" s="659"/>
      <c r="H228" s="659"/>
      <c r="I228" s="56"/>
      <c r="J228" s="659" t="s">
        <v>255</v>
      </c>
      <c r="K228" s="8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29" s="71"/>
      <c r="E229" s="656"/>
      <c r="F229" s="656"/>
      <c r="G229" s="657"/>
      <c r="H229" s="800"/>
      <c r="I229" s="801"/>
      <c r="J229" s="660">
        <f>K66+K75+K57+K40+K84</f>
        <v>0</v>
      </c>
      <c r="K229" s="828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Storage"&amp;"     /     "&amp;K95&amp;" TB - Archive"</f>
        <v>0 TB - Storage     /     0 TB - Archive</v>
      </c>
      <c r="D230" s="658"/>
      <c r="E230" s="658"/>
      <c r="F230" s="802"/>
      <c r="G230" s="803"/>
      <c r="H230" s="803"/>
      <c r="I230" s="804"/>
      <c r="J230" s="661">
        <f>K97</f>
        <v>0</v>
      </c>
      <c r="K230" s="828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661">
        <f>K121</f>
        <v>0</v>
      </c>
      <c r="K231" s="828"/>
      <c r="L231" s="2"/>
      <c r="M231" s="664"/>
      <c r="N231" s="28"/>
    </row>
    <row r="232" spans="1:20" s="808" customFormat="1" ht="25" customHeight="1">
      <c r="A232" s="806"/>
      <c r="B232" s="972" t="s">
        <v>222</v>
      </c>
      <c r="C232" s="807"/>
      <c r="D232" s="807"/>
      <c r="E232" s="807"/>
      <c r="F232" s="807"/>
      <c r="G232" s="807"/>
      <c r="H232" s="807"/>
      <c r="I232" s="807"/>
      <c r="J232" s="662">
        <f>SUM(J229:J231)</f>
        <v>0</v>
      </c>
      <c r="K232" s="8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8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828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594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865"/>
    </row>
    <row r="237" spans="1:20" s="112" customFormat="1" ht="25" customHeight="1">
      <c r="B237" s="913" t="s">
        <v>645</v>
      </c>
      <c r="C237" s="108"/>
      <c r="D237" s="108"/>
      <c r="E237" s="108"/>
      <c r="F237" s="820"/>
      <c r="G237" s="821"/>
      <c r="H237" s="822"/>
      <c r="I237" s="822"/>
      <c r="J237" s="822"/>
      <c r="K237" s="866"/>
      <c r="L237" s="819"/>
      <c r="M237" s="819"/>
      <c r="N237" s="819"/>
    </row>
    <row r="238" spans="1:20" s="112" customFormat="1" ht="25" customHeight="1">
      <c r="B238" s="913" t="s">
        <v>437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4" t="s">
        <v>438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3" t="s">
        <v>439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5" t="s">
        <v>646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6"/>
      <c r="K266" s="866"/>
      <c r="M266" s="824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28" spans="2:4" ht="25" customHeight="1">
      <c r="B328" s="647"/>
      <c r="C328" s="38"/>
      <c r="D328" s="96"/>
    </row>
  </sheetData>
  <sheetProtection algorithmName="SHA-512" hashValue="ny71qrfhJcsuiyKqD76ty4xFZns8TiKwA34Q7NtG9U3lYqxw/dqvo4v7WOxum856CSWP6Zz09vjZeoRVgtTPUA==" saltValue="+mz5k6pWSr/x0hS/6+9CJA==" spinCount="100000" sheet="1" deleteRows="0" selectLockedCells="1"/>
  <mergeCells count="43">
    <mergeCell ref="B219:G221"/>
    <mergeCell ref="B222:F222"/>
    <mergeCell ref="B139:G141"/>
    <mergeCell ref="B181:G183"/>
    <mergeCell ref="B184:F184"/>
    <mergeCell ref="B185:F185"/>
    <mergeCell ref="H102:I102"/>
    <mergeCell ref="H100:I100"/>
    <mergeCell ref="B4:C4"/>
    <mergeCell ref="B15:G17"/>
    <mergeCell ref="B19:F19"/>
    <mergeCell ref="F100:G100"/>
    <mergeCell ref="D100:E100"/>
    <mergeCell ref="D102:E102"/>
    <mergeCell ref="F102:G102"/>
    <mergeCell ref="B24:E24"/>
    <mergeCell ref="B45:E45"/>
    <mergeCell ref="B60:E60"/>
    <mergeCell ref="B70:E70"/>
    <mergeCell ref="B87:K89"/>
    <mergeCell ref="H103:I103"/>
    <mergeCell ref="H106:I106"/>
    <mergeCell ref="H105:I105"/>
    <mergeCell ref="B110:G112"/>
    <mergeCell ref="D103:E103"/>
    <mergeCell ref="D104:E104"/>
    <mergeCell ref="D105:E105"/>
    <mergeCell ref="D106:E106"/>
    <mergeCell ref="F103:G103"/>
    <mergeCell ref="F104:G104"/>
    <mergeCell ref="F106:G106"/>
    <mergeCell ref="F105:G105"/>
    <mergeCell ref="B125:G127"/>
    <mergeCell ref="G132:H132"/>
    <mergeCell ref="H104:I104"/>
    <mergeCell ref="G133:H133"/>
    <mergeCell ref="G134:H134"/>
    <mergeCell ref="C132:D132"/>
    <mergeCell ref="C133:D133"/>
    <mergeCell ref="C134:D134"/>
    <mergeCell ref="E133:F133"/>
    <mergeCell ref="E134:F134"/>
    <mergeCell ref="E132:F132"/>
  </mergeCells>
  <phoneticPr fontId="2" type="noConversion"/>
  <conditionalFormatting sqref="I26:I39 K26:K39 I47:I56 K47:K56 I62:I65 K62:K65 I72:I74 K72:K74 I81:I83 K81:K83 I95:I96 K95:K96 I118:I120 K118:K120 J119:J120">
    <cfRule type="cellIs" dxfId="59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6" r:id="rId3" xr:uid="{14C68887-A6AE-5A46-B6B4-5CBC0F55863C}"/>
    <hyperlink ref="B60" location="'SEK - Safesprings tjänster 2022'!I83" display="Central blocklagring kan köpas till insatserna. Se &quot;Central blocklagring&quot; i prislistan." xr:uid="{7245751B-9218-B140-BF80-95BB41BDA629}"/>
    <hyperlink ref="B60:E60" location="'SEK - Safesprings tjänster 2022'!I81" display="Central blocklagring kan köpas till insatserna. Se &quot;Central blocklagring&quot; i prislistan." xr:uid="{68E33D46-B1E3-E949-B5D8-A280A8A3ACE5}"/>
    <hyperlink ref="B70" location="'SEK - Safesprings tjänster 2022'!I83" display="Central blocklagring kan köpas till insatserna. Se &quot;Central blocklagring&quot; i prislistan." xr:uid="{B8C5E60C-C647-074B-BB58-1700364AC2DE}"/>
    <hyperlink ref="B70:E70" location="'SEK - Safesprings tjänster 2022'!I81" display="Central blocklagring kan köpas till insatserna. Se &quot;Central blocklagring&quot; i prislistan." xr:uid="{B9B9D1CD-46E6-B54F-AC66-0BD36D28B36D}"/>
    <hyperlink ref="B45:E45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ignoredErrors>
    <ignoredError sqref="G82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29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93"/>
      <c r="C4" s="993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736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425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8" t="s">
        <v>590</v>
      </c>
      <c r="C15" s="978"/>
      <c r="D15" s="978"/>
      <c r="E15" s="978"/>
      <c r="F15" s="978"/>
      <c r="G15" s="978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8"/>
      <c r="C16" s="978"/>
      <c r="D16" s="978"/>
      <c r="E16" s="978"/>
      <c r="F16" s="978"/>
      <c r="G16" s="978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8"/>
      <c r="C17" s="978"/>
      <c r="D17" s="978"/>
      <c r="E17" s="978"/>
      <c r="F17" s="978"/>
      <c r="G17" s="978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647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94" t="s">
        <v>543</v>
      </c>
      <c r="C19" s="994"/>
      <c r="D19" s="994"/>
      <c r="E19" s="994"/>
      <c r="F19" s="994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388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1000" t="s">
        <v>719</v>
      </c>
      <c r="C24" s="1000"/>
      <c r="D24" s="1000"/>
      <c r="E24" s="1000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433</v>
      </c>
      <c r="F25" s="131" t="s">
        <v>263</v>
      </c>
      <c r="G25" s="131" t="s">
        <v>546</v>
      </c>
      <c r="H25" s="686"/>
      <c r="I25" s="687" t="s">
        <v>548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689">
        <f t="shared" ref="F26:F39" si="0">G26/720</f>
        <v>0.66666666666666663</v>
      </c>
      <c r="G26" s="690">
        <f t="shared" ref="G26:G39" si="1">C26*IAAS_vcpu_SEK+D26*IAAS_ram_SEK+E26*IAAS_nvme_SEK</f>
        <v>480</v>
      </c>
      <c r="H26" s="44"/>
      <c r="I26" s="691"/>
      <c r="J26" s="44"/>
      <c r="K26" s="838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692">
        <f t="shared" si="0"/>
        <v>9.8333333333333339</v>
      </c>
      <c r="G39" s="693">
        <f t="shared" si="1"/>
        <v>7080</v>
      </c>
      <c r="H39" s="46"/>
      <c r="I39" s="691"/>
      <c r="J39" s="46"/>
      <c r="K39" s="839">
        <f t="shared" si="2"/>
        <v>0</v>
      </c>
      <c r="M39" s="664"/>
      <c r="P39" s="681"/>
      <c r="R39" s="681"/>
    </row>
    <row r="40" spans="2:18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7"/>
      <c r="G41" s="697"/>
      <c r="H41" s="698"/>
      <c r="I41" s="699"/>
      <c r="J41" s="700"/>
      <c r="K41" s="840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8" s="651" customFormat="1" ht="25" customHeight="1">
      <c r="B44" s="652" t="s">
        <v>630</v>
      </c>
      <c r="C44" s="650"/>
      <c r="D44" s="650"/>
      <c r="K44" s="842"/>
      <c r="M44" s="664"/>
    </row>
    <row r="45" spans="2:18" ht="25" customHeight="1">
      <c r="B45" s="1000" t="s">
        <v>719</v>
      </c>
      <c r="C45" s="1000"/>
      <c r="D45" s="1000"/>
      <c r="E45" s="1000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11</v>
      </c>
      <c r="E46" s="131" t="s">
        <v>433</v>
      </c>
      <c r="F46" s="131" t="s">
        <v>263</v>
      </c>
      <c r="G46" s="131" t="s">
        <v>546</v>
      </c>
      <c r="H46" s="686"/>
      <c r="I46" s="687" t="s">
        <v>548</v>
      </c>
      <c r="J46" s="686"/>
      <c r="K46" s="837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689">
        <f t="shared" ref="F47:F56" si="9">G47/720</f>
        <v>0.2638888888888889</v>
      </c>
      <c r="G47" s="690">
        <f t="shared" ref="G47:G56" si="10">C47*IAAS_vcpu_SEK+D47*IAAS_ram_SEK+E47*IAAS_ssd_SEK</f>
        <v>190</v>
      </c>
      <c r="H47" s="44"/>
      <c r="I47" s="691"/>
      <c r="J47" s="44"/>
      <c r="K47" s="838">
        <f t="shared" ref="K47:K56" si="11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689">
        <f t="shared" ref="F51:F52" si="12">G51/720</f>
        <v>1.0555555555555556</v>
      </c>
      <c r="G51" s="690">
        <f t="shared" ref="G51:G52" si="13">C51*IAAS_vcpu_SEK+D51*IAAS_ram_SEK+E51*IAAS_ssd_SEK</f>
        <v>760</v>
      </c>
      <c r="H51" s="44"/>
      <c r="I51" s="691"/>
      <c r="J51" s="44"/>
      <c r="K51" s="838">
        <f t="shared" ref="K51:K52" si="14">ROUNDUP(I51*G51,2)</f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692">
        <f t="shared" si="12"/>
        <v>1.6666666666666667</v>
      </c>
      <c r="G52" s="693">
        <f t="shared" si="13"/>
        <v>1200</v>
      </c>
      <c r="H52" s="46"/>
      <c r="I52" s="691"/>
      <c r="J52" s="46"/>
      <c r="K52" s="839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  <c r="N53" s="708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692">
        <f t="shared" si="9"/>
        <v>6.666666666666667</v>
      </c>
      <c r="G56" s="693">
        <f t="shared" si="10"/>
        <v>4800</v>
      </c>
      <c r="H56" s="46"/>
      <c r="I56" s="691"/>
      <c r="J56" s="46"/>
      <c r="K56" s="839">
        <f t="shared" si="11"/>
        <v>0</v>
      </c>
      <c r="L56" s="710"/>
      <c r="M56" s="664"/>
    </row>
    <row r="57" spans="1:20" s="873" customFormat="1" ht="25" customHeight="1"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96" t="s">
        <v>578</v>
      </c>
      <c r="C60" s="996"/>
      <c r="D60" s="996"/>
      <c r="E60" s="996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5"/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5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96" t="s">
        <v>578</v>
      </c>
      <c r="C70" s="996"/>
      <c r="D70" s="996"/>
      <c r="E70" s="996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6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6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6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545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544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210</v>
      </c>
      <c r="G80" s="131" t="s">
        <v>422</v>
      </c>
      <c r="H80" s="24"/>
      <c r="I80" s="728" t="s">
        <v>547</v>
      </c>
      <c r="J80" s="24"/>
      <c r="K80" s="612" t="s">
        <v>483</v>
      </c>
      <c r="L80" s="707"/>
      <c r="M80" s="664"/>
      <c r="N80" s="707"/>
      <c r="R80" s="730"/>
      <c r="S80" s="730"/>
      <c r="T80" s="731"/>
    </row>
    <row r="81" spans="2:26" s="675" customFormat="1" ht="25" customHeight="1">
      <c r="B81" s="134" t="s">
        <v>450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6" s="675" customFormat="1" ht="25" customHeight="1">
      <c r="B82" s="137" t="s">
        <v>451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6" s="675" customFormat="1" ht="25" customHeight="1">
      <c r="B83" s="134" t="s">
        <v>452</v>
      </c>
      <c r="C83" s="39" t="s">
        <v>420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6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6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6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6" s="4" customFormat="1" ht="25" customHeight="1">
      <c r="B87" s="978" t="s">
        <v>591</v>
      </c>
      <c r="C87" s="978"/>
      <c r="D87" s="978"/>
      <c r="E87" s="978"/>
      <c r="F87" s="978"/>
      <c r="G87" s="978"/>
      <c r="H87" s="672"/>
      <c r="J87" s="674"/>
      <c r="K87" s="833"/>
      <c r="M87" s="664"/>
    </row>
    <row r="88" spans="2:26" s="4" customFormat="1" ht="25" customHeight="1">
      <c r="B88" s="978"/>
      <c r="C88" s="978"/>
      <c r="D88" s="978"/>
      <c r="E88" s="978"/>
      <c r="F88" s="978"/>
      <c r="G88" s="978"/>
      <c r="H88" s="672"/>
      <c r="J88" s="674"/>
      <c r="K88" s="833"/>
      <c r="M88" s="664"/>
    </row>
    <row r="89" spans="2:26" s="4" customFormat="1" ht="25" customHeight="1">
      <c r="B89" s="978"/>
      <c r="C89" s="978"/>
      <c r="D89" s="978"/>
      <c r="E89" s="978"/>
      <c r="F89" s="978"/>
      <c r="G89" s="978"/>
      <c r="H89" s="672"/>
      <c r="J89" s="674"/>
      <c r="K89" s="833"/>
      <c r="M89" s="664"/>
    </row>
    <row r="90" spans="2:26" s="4" customFormat="1" ht="25" customHeight="1">
      <c r="B90" s="549" t="s">
        <v>595</v>
      </c>
      <c r="C90" s="549"/>
      <c r="D90" s="549"/>
      <c r="E90" s="549"/>
      <c r="F90" s="549"/>
      <c r="H90" s="672"/>
      <c r="J90" s="674"/>
      <c r="K90" s="833"/>
      <c r="M90" s="664"/>
    </row>
    <row r="91" spans="2:26" s="503" customFormat="1" ht="25" customHeight="1">
      <c r="B91" s="465" t="s">
        <v>648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6" s="4" customFormat="1" ht="25" customHeight="1">
      <c r="B92" s="550" t="s">
        <v>388</v>
      </c>
      <c r="C92" s="551"/>
      <c r="D92" s="551"/>
      <c r="E92" s="133"/>
      <c r="F92" s="133"/>
      <c r="G92" s="677"/>
      <c r="H92" s="678"/>
      <c r="I92" s="677"/>
      <c r="J92" s="679"/>
      <c r="K92" s="834"/>
      <c r="L92" s="680"/>
      <c r="M92" s="664"/>
      <c r="S92" s="675"/>
      <c r="T92" s="675"/>
      <c r="U92" s="675"/>
      <c r="V92" s="675"/>
      <c r="W92" s="681"/>
      <c r="X92" s="8"/>
      <c r="Y92" s="675"/>
      <c r="Z92" s="675"/>
    </row>
    <row r="93" spans="2:26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6" s="4" customFormat="1" ht="25" customHeight="1">
      <c r="B94" s="444" t="s">
        <v>208</v>
      </c>
      <c r="C94" s="10"/>
      <c r="D94" s="131"/>
      <c r="E94" s="131"/>
      <c r="F94" s="24"/>
      <c r="G94" s="131" t="s">
        <v>549</v>
      </c>
      <c r="H94" s="24"/>
      <c r="I94" s="728" t="s">
        <v>550</v>
      </c>
      <c r="J94" s="131"/>
      <c r="K94" s="612" t="s">
        <v>83</v>
      </c>
      <c r="L94" s="680"/>
      <c r="M94" s="664"/>
      <c r="N94" s="675"/>
    </row>
    <row r="95" spans="2:26" s="752" customFormat="1" ht="25" customHeight="1">
      <c r="B95" s="445" t="s">
        <v>484</v>
      </c>
      <c r="C95" s="78"/>
      <c r="D95" s="52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6" s="675" customFormat="1" ht="25" customHeight="1">
      <c r="B96" s="137" t="s">
        <v>453</v>
      </c>
      <c r="C96" s="41"/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92" t="s">
        <v>225</v>
      </c>
      <c r="E100" s="992"/>
      <c r="F100" s="992"/>
      <c r="G100" s="992"/>
      <c r="H100" s="992"/>
      <c r="I100" s="992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91">
        <f>S3_archive.50_SEK</f>
        <v>350</v>
      </c>
      <c r="E102" s="991"/>
      <c r="F102" s="991"/>
      <c r="G102" s="991"/>
      <c r="H102" s="991"/>
      <c r="I102" s="991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80">
        <f>S3_archive.500_SEK</f>
        <v>200</v>
      </c>
      <c r="E104" s="980"/>
      <c r="F104" s="980"/>
      <c r="G104" s="980"/>
      <c r="H104" s="980"/>
      <c r="I104" s="980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78" t="s">
        <v>592</v>
      </c>
      <c r="C110" s="978"/>
      <c r="D110" s="978"/>
      <c r="E110" s="978"/>
      <c r="F110" s="978"/>
      <c r="G110" s="978"/>
      <c r="H110" s="672"/>
      <c r="J110" s="674"/>
      <c r="K110" s="833"/>
      <c r="L110" s="674"/>
      <c r="M110" s="664"/>
    </row>
    <row r="111" spans="2:19" s="4" customFormat="1" ht="25" customHeight="1">
      <c r="B111" s="978"/>
      <c r="C111" s="978"/>
      <c r="D111" s="978"/>
      <c r="E111" s="978"/>
      <c r="F111" s="978"/>
      <c r="G111" s="978"/>
      <c r="H111" s="672"/>
      <c r="J111" s="674"/>
      <c r="K111" s="833"/>
      <c r="L111" s="674"/>
      <c r="M111" s="664"/>
    </row>
    <row r="112" spans="2:19" s="4" customFormat="1" ht="25" customHeight="1">
      <c r="B112" s="978"/>
      <c r="C112" s="978"/>
      <c r="D112" s="978"/>
      <c r="E112" s="978"/>
      <c r="F112" s="978"/>
      <c r="G112" s="978"/>
      <c r="H112" s="672"/>
      <c r="J112" s="674"/>
      <c r="K112" s="833"/>
      <c r="L112" s="674"/>
      <c r="M112" s="664"/>
    </row>
    <row r="113" spans="2:32" s="4" customFormat="1" ht="25" customHeight="1">
      <c r="B113" s="549" t="s">
        <v>551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994" t="s">
        <v>543</v>
      </c>
      <c r="C114" s="994"/>
      <c r="D114" s="994"/>
      <c r="E114" s="994"/>
      <c r="F114" s="994"/>
      <c r="G114" s="677"/>
      <c r="H114" s="678"/>
      <c r="J114" s="679"/>
      <c r="K114" s="834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388</v>
      </c>
      <c r="C115" s="551"/>
      <c r="D115" s="551"/>
      <c r="E115" s="133"/>
      <c r="F115" s="133"/>
      <c r="G115" s="677"/>
      <c r="H115" s="678"/>
      <c r="I115" s="677"/>
      <c r="J115" s="679"/>
      <c r="K115" s="834"/>
      <c r="L115" s="680"/>
      <c r="M115" s="664"/>
      <c r="S115" s="675"/>
      <c r="T115" s="675"/>
      <c r="U115" s="675"/>
      <c r="V115" s="675"/>
      <c r="W115" s="681"/>
      <c r="X115" s="8"/>
      <c r="Y115" s="675"/>
      <c r="Z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281</v>
      </c>
      <c r="F117" s="769"/>
      <c r="G117" s="24" t="s">
        <v>553</v>
      </c>
      <c r="H117" s="24"/>
      <c r="I117" s="728" t="s">
        <v>547</v>
      </c>
      <c r="J117" s="728" t="s">
        <v>554</v>
      </c>
      <c r="K117" s="612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78" t="s">
        <v>427</v>
      </c>
      <c r="C125" s="978"/>
      <c r="D125" s="978"/>
      <c r="E125" s="978"/>
      <c r="F125" s="978"/>
      <c r="G125" s="978"/>
      <c r="H125" s="672"/>
      <c r="J125" s="674"/>
      <c r="K125" s="833"/>
      <c r="L125" s="674"/>
      <c r="M125" s="664"/>
    </row>
    <row r="126" spans="2:32" s="4" customFormat="1" ht="25" hidden="1" customHeight="1">
      <c r="B126" s="978"/>
      <c r="C126" s="978"/>
      <c r="D126" s="978"/>
      <c r="E126" s="978"/>
      <c r="F126" s="978"/>
      <c r="G126" s="978"/>
      <c r="H126" s="672"/>
      <c r="J126" s="674"/>
      <c r="K126" s="833"/>
      <c r="L126" s="674"/>
      <c r="M126" s="664"/>
    </row>
    <row r="127" spans="2:32" s="4" customFormat="1" ht="25" hidden="1" customHeight="1">
      <c r="B127" s="978"/>
      <c r="C127" s="978"/>
      <c r="D127" s="978"/>
      <c r="E127" s="978"/>
      <c r="F127" s="978"/>
      <c r="G127" s="978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558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994" t="s">
        <v>587</v>
      </c>
      <c r="C129" s="994"/>
      <c r="D129" s="994"/>
      <c r="E129" s="994"/>
      <c r="F129" s="994"/>
      <c r="G129" s="677"/>
      <c r="H129" s="678"/>
      <c r="J129" s="679"/>
      <c r="K129" s="834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576</v>
      </c>
      <c r="C130" s="551"/>
      <c r="D130" s="551"/>
      <c r="E130" s="551"/>
      <c r="F130" s="133"/>
      <c r="G130" s="677"/>
      <c r="H130" s="678"/>
      <c r="I130" s="677"/>
      <c r="J130" s="679"/>
      <c r="K130" s="834"/>
      <c r="L130" s="680"/>
      <c r="M130" s="664"/>
      <c r="S130" s="675"/>
      <c r="T130" s="675"/>
      <c r="U130" s="675"/>
      <c r="V130" s="675"/>
      <c r="W130" s="681"/>
      <c r="X130" s="8"/>
      <c r="Y130" s="675"/>
      <c r="Z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79" t="s">
        <v>559</v>
      </c>
      <c r="D132" s="979"/>
      <c r="E132" s="979" t="s">
        <v>560</v>
      </c>
      <c r="F132" s="979"/>
      <c r="G132" s="979" t="s">
        <v>281</v>
      </c>
      <c r="H132" s="979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457</v>
      </c>
      <c r="C133" s="985" t="s">
        <v>517</v>
      </c>
      <c r="D133" s="985"/>
      <c r="E133" s="987" t="s">
        <v>575</v>
      </c>
      <c r="F133" s="987"/>
      <c r="G133" s="981">
        <v>15000</v>
      </c>
      <c r="H133" s="982"/>
      <c r="I133" s="749"/>
      <c r="J133" s="911">
        <v>2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458</v>
      </c>
      <c r="C134" s="986" t="s">
        <v>561</v>
      </c>
      <c r="D134" s="986"/>
      <c r="E134" s="988" t="s">
        <v>562</v>
      </c>
      <c r="F134" s="988"/>
      <c r="G134" s="983">
        <v>24000</v>
      </c>
      <c r="H134" s="984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8" t="s">
        <v>287</v>
      </c>
      <c r="C139" s="978"/>
      <c r="D139" s="978"/>
      <c r="E139" s="978"/>
      <c r="F139" s="978"/>
      <c r="G139" s="978"/>
      <c r="H139" s="672"/>
      <c r="J139" s="674"/>
      <c r="K139" s="833"/>
      <c r="M139" s="664"/>
    </row>
    <row r="140" spans="2:32" s="4" customFormat="1" ht="25" customHeight="1">
      <c r="B140" s="978"/>
      <c r="C140" s="978"/>
      <c r="D140" s="978"/>
      <c r="E140" s="978"/>
      <c r="F140" s="978"/>
      <c r="G140" s="978"/>
      <c r="H140" s="672"/>
      <c r="J140" s="674"/>
      <c r="K140" s="833"/>
      <c r="M140" s="664"/>
    </row>
    <row r="141" spans="2:32" s="4" customFormat="1" ht="25" customHeight="1">
      <c r="B141" s="978"/>
      <c r="C141" s="978"/>
      <c r="D141" s="978"/>
      <c r="E141" s="978"/>
      <c r="F141" s="978"/>
      <c r="G141" s="978"/>
      <c r="H141" s="672"/>
      <c r="J141" s="674"/>
      <c r="K141" s="833"/>
      <c r="M141" s="664"/>
    </row>
    <row r="142" spans="2:32" s="4" customFormat="1" ht="25" customHeight="1">
      <c r="B142" s="994" t="s">
        <v>543</v>
      </c>
      <c r="C142" s="994"/>
      <c r="D142" s="994"/>
      <c r="E142" s="994"/>
      <c r="F142" s="994"/>
      <c r="G142" s="677"/>
      <c r="H142" s="678"/>
      <c r="J142" s="679"/>
      <c r="K142" s="834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1001"/>
      <c r="C143" s="1001"/>
      <c r="D143" s="1001"/>
      <c r="E143" s="1001"/>
      <c r="F143" s="1001"/>
      <c r="G143" s="677"/>
      <c r="H143" s="678"/>
      <c r="I143" s="677"/>
      <c r="J143" s="679"/>
      <c r="K143" s="834"/>
      <c r="L143" s="677"/>
      <c r="M143" s="664"/>
    </row>
    <row r="144" spans="2:32" s="4" customFormat="1" ht="25" customHeight="1">
      <c r="B144" s="465"/>
      <c r="C144" s="133"/>
      <c r="D144" s="133"/>
      <c r="E144" s="133"/>
      <c r="F144" s="133"/>
      <c r="G144" s="677"/>
      <c r="H144" s="678"/>
      <c r="I144" s="677"/>
      <c r="J144" s="679"/>
      <c r="K144" s="834"/>
      <c r="L144" s="677"/>
      <c r="M144" s="664"/>
    </row>
    <row r="145" spans="2:19" s="8" customFormat="1" ht="25" customHeight="1">
      <c r="B145" s="649" t="s">
        <v>288</v>
      </c>
      <c r="C145" s="133"/>
      <c r="D145" s="133"/>
      <c r="E145" s="133"/>
      <c r="F145" s="133"/>
      <c r="G145" s="677"/>
      <c r="H145" s="677"/>
      <c r="I145" s="677"/>
      <c r="J145" s="679"/>
      <c r="K145" s="834"/>
      <c r="L145" s="677"/>
      <c r="M145" s="664"/>
      <c r="N145" s="675"/>
      <c r="O145" s="675"/>
      <c r="P145" s="675"/>
      <c r="Q145" s="675"/>
      <c r="R145" s="675"/>
      <c r="S145" s="675"/>
    </row>
    <row r="146" spans="2:19" ht="25" customHeight="1">
      <c r="B146" s="628" t="s">
        <v>563</v>
      </c>
      <c r="M146" s="664"/>
    </row>
    <row r="147" spans="2:19" ht="25" customHeight="1">
      <c r="B147" s="470" t="s">
        <v>208</v>
      </c>
      <c r="C147" s="23" t="s">
        <v>564</v>
      </c>
      <c r="D147" s="23"/>
      <c r="E147" s="24" t="s">
        <v>271</v>
      </c>
      <c r="F147" s="24"/>
      <c r="G147" s="24"/>
      <c r="H147" s="24"/>
      <c r="I147" s="24"/>
      <c r="J147" s="23" t="s">
        <v>566</v>
      </c>
      <c r="K147" s="612" t="s">
        <v>264</v>
      </c>
      <c r="L147" s="13"/>
      <c r="M147" s="664"/>
      <c r="N147" s="742"/>
      <c r="O147" s="8"/>
    </row>
    <row r="148" spans="2:19" ht="25" customHeight="1">
      <c r="B148" s="134" t="s">
        <v>459</v>
      </c>
      <c r="C148" s="129" t="s">
        <v>105</v>
      </c>
      <c r="D148" s="129"/>
      <c r="E148" s="39" t="s">
        <v>106</v>
      </c>
      <c r="F148" s="30"/>
      <c r="G148" s="30"/>
      <c r="H148" s="30"/>
      <c r="I148" s="30"/>
      <c r="J148" s="770" t="s">
        <v>107</v>
      </c>
      <c r="K148" s="828">
        <f>NET_publicv4_SEK</f>
        <v>25</v>
      </c>
      <c r="M148" s="664"/>
      <c r="N148" s="742"/>
      <c r="O148" s="8"/>
    </row>
    <row r="149" spans="2:19" ht="25" customHeight="1">
      <c r="B149" s="137" t="s">
        <v>460</v>
      </c>
      <c r="C149" s="130" t="s">
        <v>109</v>
      </c>
      <c r="D149" s="130"/>
      <c r="E149" s="41" t="s">
        <v>106</v>
      </c>
      <c r="F149" s="771"/>
      <c r="G149" s="771"/>
      <c r="H149" s="771"/>
      <c r="I149" s="771"/>
      <c r="J149" s="772" t="s">
        <v>94</v>
      </c>
      <c r="K149" s="554">
        <f>NET_publicv6_SEK</f>
        <v>0</v>
      </c>
      <c r="M149" s="664"/>
      <c r="N149" s="742"/>
      <c r="O149" s="8"/>
    </row>
    <row r="150" spans="2:19" ht="25" customHeight="1">
      <c r="B150" s="134" t="s">
        <v>461</v>
      </c>
      <c r="C150" s="129" t="s">
        <v>291</v>
      </c>
      <c r="D150" s="129"/>
      <c r="E150" s="148"/>
      <c r="F150" s="37"/>
      <c r="G150" s="37"/>
      <c r="H150" s="37"/>
      <c r="I150" s="37"/>
      <c r="J150" s="770" t="s">
        <v>69</v>
      </c>
      <c r="K150" s="555">
        <f>NET_ingress_SEK</f>
        <v>0</v>
      </c>
      <c r="M150" s="664"/>
      <c r="N150" s="742"/>
      <c r="O150" s="8"/>
    </row>
    <row r="151" spans="2:19" ht="25" customHeight="1">
      <c r="B151" s="137" t="s">
        <v>462</v>
      </c>
      <c r="C151" s="130" t="s">
        <v>291</v>
      </c>
      <c r="D151" s="130"/>
      <c r="E151" s="41"/>
      <c r="F151" s="771"/>
      <c r="G151" s="771"/>
      <c r="H151" s="771"/>
      <c r="I151" s="771"/>
      <c r="J151" s="773" t="s">
        <v>69</v>
      </c>
      <c r="K151" s="554">
        <f>NET_egress_SEK</f>
        <v>0</v>
      </c>
      <c r="M151" s="664"/>
      <c r="N151" s="742"/>
      <c r="O151" s="8"/>
    </row>
    <row r="152" spans="2:19" ht="25" customHeight="1">
      <c r="B152" s="134" t="s">
        <v>463</v>
      </c>
      <c r="C152" s="129" t="s">
        <v>115</v>
      </c>
      <c r="D152" s="129"/>
      <c r="E152" s="30" t="s">
        <v>565</v>
      </c>
      <c r="F152" s="37"/>
      <c r="G152" s="37"/>
      <c r="H152" s="37"/>
      <c r="I152" s="37"/>
      <c r="J152" s="770" t="s">
        <v>238</v>
      </c>
      <c r="K152" s="555" t="s">
        <v>567</v>
      </c>
      <c r="M152" s="664"/>
    </row>
    <row r="153" spans="2:19" ht="25" customHeight="1">
      <c r="B153" s="137" t="s">
        <v>464</v>
      </c>
      <c r="C153" s="130" t="s">
        <v>118</v>
      </c>
      <c r="D153" s="130"/>
      <c r="E153" s="41"/>
      <c r="F153" s="771"/>
      <c r="G153" s="771"/>
      <c r="H153" s="771"/>
      <c r="I153" s="771"/>
      <c r="J153" s="772" t="s">
        <v>94</v>
      </c>
      <c r="K153" s="554">
        <f>NET_rdns_SEK</f>
        <v>0</v>
      </c>
      <c r="M153" s="664"/>
      <c r="N153" s="742"/>
      <c r="O153" s="8"/>
    </row>
    <row r="154" spans="2:19" ht="25" customHeight="1">
      <c r="B154" s="134" t="s">
        <v>465</v>
      </c>
      <c r="C154" s="129" t="s">
        <v>121</v>
      </c>
      <c r="D154" s="129"/>
      <c r="E154" s="30"/>
      <c r="F154" s="37"/>
      <c r="G154" s="37"/>
      <c r="H154" s="37"/>
      <c r="I154" s="37"/>
      <c r="J154" s="775" t="s">
        <v>94</v>
      </c>
      <c r="K154" s="555">
        <v>0</v>
      </c>
      <c r="M154" s="664"/>
      <c r="N154" s="742"/>
      <c r="O154" s="8"/>
    </row>
    <row r="155" spans="2:19" ht="25" customHeight="1">
      <c r="B155" s="639"/>
      <c r="C155" s="141"/>
      <c r="D155" s="142"/>
      <c r="E155" s="142"/>
      <c r="F155" s="142"/>
      <c r="G155" s="142"/>
      <c r="H155" s="142"/>
      <c r="I155" s="142"/>
      <c r="J155" s="141"/>
      <c r="K155" s="856"/>
      <c r="M155" s="664"/>
      <c r="N155" s="742"/>
      <c r="O155" s="8"/>
    </row>
    <row r="156" spans="2:19" ht="25" customHeight="1">
      <c r="C156" s="43"/>
      <c r="J156" s="43"/>
      <c r="M156" s="664"/>
      <c r="N156" s="742"/>
      <c r="O156" s="8"/>
    </row>
    <row r="157" spans="2:19" ht="25" customHeight="1">
      <c r="C157" s="43"/>
      <c r="J157" s="43"/>
      <c r="M157" s="664"/>
      <c r="N157" s="742"/>
      <c r="O157" s="8"/>
    </row>
    <row r="158" spans="2:19" ht="25" customHeight="1">
      <c r="B158" s="649" t="s">
        <v>293</v>
      </c>
      <c r="C158" s="13"/>
      <c r="D158" s="13"/>
      <c r="E158" s="13"/>
      <c r="F158" s="13"/>
      <c r="G158" s="13"/>
      <c r="H158" s="13"/>
      <c r="I158" s="13"/>
      <c r="J158" s="776"/>
      <c r="M158" s="664"/>
      <c r="N158" s="742"/>
      <c r="O158" s="8"/>
    </row>
    <row r="159" spans="2:19" ht="25" customHeight="1">
      <c r="B159" s="628" t="s">
        <v>649</v>
      </c>
      <c r="M159" s="664"/>
    </row>
    <row r="160" spans="2:19" ht="25" customHeight="1">
      <c r="B160" s="470" t="s">
        <v>208</v>
      </c>
      <c r="C160" s="23"/>
      <c r="D160" s="23"/>
      <c r="E160" s="24" t="s">
        <v>271</v>
      </c>
      <c r="F160" s="24"/>
      <c r="G160" s="24"/>
      <c r="H160" s="24"/>
      <c r="I160" s="24"/>
      <c r="J160" s="23" t="s">
        <v>566</v>
      </c>
      <c r="K160" s="612" t="s">
        <v>264</v>
      </c>
      <c r="M160" s="664"/>
      <c r="N160" s="742"/>
      <c r="O160" s="8"/>
    </row>
    <row r="161" spans="2:18" ht="25" customHeight="1">
      <c r="B161" s="134" t="s">
        <v>588</v>
      </c>
      <c r="C161" s="129"/>
      <c r="D161" s="30"/>
      <c r="E161" s="30" t="s">
        <v>730</v>
      </c>
      <c r="F161" s="30"/>
      <c r="G161" s="30"/>
      <c r="H161" s="30"/>
      <c r="I161" s="30"/>
      <c r="J161" s="770" t="s">
        <v>10</v>
      </c>
      <c r="K161" s="828">
        <f>SW_win.ser.201X_SEK</f>
        <v>175</v>
      </c>
      <c r="L161" s="740"/>
      <c r="M161" s="664"/>
      <c r="N161" s="742"/>
      <c r="O161" s="8"/>
      <c r="Q161" s="675"/>
      <c r="R161" s="675"/>
    </row>
    <row r="162" spans="2:18" ht="25" customHeight="1">
      <c r="B162" s="137" t="s">
        <v>466</v>
      </c>
      <c r="C162" s="130"/>
      <c r="D162" s="38"/>
      <c r="E162" s="38" t="s">
        <v>731</v>
      </c>
      <c r="F162" s="771"/>
      <c r="G162" s="771"/>
      <c r="H162" s="771"/>
      <c r="I162" s="771"/>
      <c r="J162" s="773" t="s">
        <v>10</v>
      </c>
      <c r="K162" s="829">
        <f>SW_ms.sql.ser_SEK</f>
        <v>1229</v>
      </c>
      <c r="L162" s="740"/>
      <c r="M162" s="664"/>
      <c r="N162" s="742"/>
      <c r="O162" s="8"/>
      <c r="Q162" s="675"/>
      <c r="R162" s="675"/>
    </row>
    <row r="163" spans="2:18" ht="25" customHeight="1">
      <c r="B163" s="134" t="s">
        <v>634</v>
      </c>
      <c r="C163" s="129"/>
      <c r="D163" s="30"/>
      <c r="E163" s="30" t="s">
        <v>732</v>
      </c>
      <c r="F163" s="30"/>
      <c r="G163" s="30"/>
      <c r="H163" s="30"/>
      <c r="I163" s="30"/>
      <c r="J163" s="770" t="s">
        <v>10</v>
      </c>
      <c r="K163" s="828">
        <f>SW_ms.sql.ser.ent_SEK</f>
        <v>4766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467</v>
      </c>
      <c r="C164" s="130"/>
      <c r="D164" s="38"/>
      <c r="E164" s="38" t="s">
        <v>733</v>
      </c>
      <c r="F164" s="771"/>
      <c r="G164" s="771"/>
      <c r="H164" s="771"/>
      <c r="I164" s="771"/>
      <c r="J164" s="773" t="s">
        <v>94</v>
      </c>
      <c r="K164" s="829" t="s">
        <v>635</v>
      </c>
      <c r="M164" s="664"/>
      <c r="N164" s="742"/>
      <c r="O164" s="8"/>
    </row>
    <row r="165" spans="2:18" ht="25" customHeight="1">
      <c r="B165" s="134" t="s">
        <v>468</v>
      </c>
      <c r="C165" s="129"/>
      <c r="D165" s="30"/>
      <c r="E165" s="30" t="s">
        <v>734</v>
      </c>
      <c r="F165" s="30"/>
      <c r="G165" s="30"/>
      <c r="H165" s="30"/>
      <c r="I165" s="30"/>
      <c r="J165" s="770" t="s">
        <v>94</v>
      </c>
      <c r="K165" s="828" t="s">
        <v>635</v>
      </c>
      <c r="L165" s="740"/>
      <c r="M165" s="664"/>
      <c r="N165" s="742"/>
      <c r="O165" s="8"/>
      <c r="Q165" s="675"/>
      <c r="R165" s="675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857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554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568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569</v>
      </c>
      <c r="M170" s="664"/>
    </row>
    <row r="171" spans="2:18" ht="25" customHeight="1">
      <c r="B171" s="470" t="s">
        <v>208</v>
      </c>
      <c r="C171" s="23"/>
      <c r="D171" s="23"/>
      <c r="E171" s="24" t="s">
        <v>271</v>
      </c>
      <c r="F171" s="24"/>
      <c r="G171" s="24"/>
      <c r="H171" s="24"/>
      <c r="I171" s="24"/>
      <c r="J171" s="131"/>
      <c r="K171" s="612" t="s">
        <v>264</v>
      </c>
      <c r="M171" s="664"/>
      <c r="N171" s="742"/>
      <c r="O171" s="8"/>
    </row>
    <row r="172" spans="2:18" ht="25" customHeight="1">
      <c r="B172" s="134" t="s">
        <v>458</v>
      </c>
      <c r="C172" s="129"/>
      <c r="D172" s="30"/>
      <c r="E172" s="30" t="s">
        <v>401</v>
      </c>
      <c r="F172" s="30"/>
      <c r="G172" s="30"/>
      <c r="H172" s="30"/>
      <c r="I172" s="30"/>
      <c r="J172" s="40"/>
      <c r="K172" s="868" t="s">
        <v>567</v>
      </c>
      <c r="M172" s="664"/>
      <c r="N172" s="742"/>
      <c r="O172" s="8"/>
    </row>
    <row r="173" spans="2:18" ht="25" customHeight="1">
      <c r="B173" s="137" t="s">
        <v>469</v>
      </c>
      <c r="C173" s="130"/>
      <c r="D173" s="38"/>
      <c r="E173" s="38" t="s">
        <v>402</v>
      </c>
      <c r="F173" s="771"/>
      <c r="G173" s="771"/>
      <c r="H173" s="771"/>
      <c r="I173" s="771"/>
      <c r="J173" s="779"/>
      <c r="K173" s="867" t="s">
        <v>567</v>
      </c>
      <c r="M173" s="664"/>
      <c r="N173" s="742"/>
      <c r="O173" s="8"/>
    </row>
    <row r="174" spans="2:18" ht="25" customHeight="1">
      <c r="B174" s="134" t="s">
        <v>726</v>
      </c>
      <c r="C174" s="129"/>
      <c r="D174" s="30"/>
      <c r="E174" s="30" t="s">
        <v>727</v>
      </c>
      <c r="F174" s="30"/>
      <c r="G174" s="30"/>
      <c r="H174" s="30"/>
      <c r="I174" s="30"/>
      <c r="J174" s="40"/>
      <c r="K174" s="868" t="s">
        <v>567</v>
      </c>
      <c r="M174" s="664"/>
      <c r="N174" s="742"/>
      <c r="O174" s="8"/>
    </row>
    <row r="175" spans="2:18" ht="25" customHeight="1">
      <c r="B175" s="137" t="s">
        <v>470</v>
      </c>
      <c r="C175" s="130"/>
      <c r="D175" s="38"/>
      <c r="E175" s="38" t="s">
        <v>650</v>
      </c>
      <c r="F175" s="771"/>
      <c r="G175" s="771"/>
      <c r="H175" s="771"/>
      <c r="I175" s="771"/>
      <c r="J175" s="779"/>
      <c r="K175" s="867" t="s">
        <v>567</v>
      </c>
      <c r="M175" s="664"/>
      <c r="N175" s="742"/>
      <c r="O175" s="8"/>
    </row>
    <row r="176" spans="2:18" ht="25" customHeight="1">
      <c r="B176" s="134" t="s">
        <v>471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868" t="s">
        <v>567</v>
      </c>
      <c r="M176" s="664"/>
      <c r="N176" s="742"/>
      <c r="O176" s="8"/>
    </row>
    <row r="177" spans="2:20" ht="25" customHeight="1">
      <c r="B177" s="137" t="s">
        <v>472</v>
      </c>
      <c r="C177" s="130"/>
      <c r="D177" s="38"/>
      <c r="E177" s="38" t="s">
        <v>150</v>
      </c>
      <c r="F177" s="771"/>
      <c r="G177" s="771"/>
      <c r="H177" s="771"/>
      <c r="I177" s="771"/>
      <c r="J177" s="779"/>
      <c r="K177" s="867" t="s">
        <v>567</v>
      </c>
      <c r="M177" s="664"/>
      <c r="N177" s="742"/>
      <c r="O177" s="8"/>
    </row>
    <row r="178" spans="2:20" ht="25" customHeight="1">
      <c r="B178" s="134" t="s">
        <v>435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868" t="s">
        <v>567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857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846"/>
      <c r="L181" s="742"/>
      <c r="M181" s="664"/>
      <c r="N181" s="675"/>
      <c r="O181" s="675"/>
    </row>
    <row r="182" spans="2:20" s="4" customFormat="1" ht="25" customHeight="1">
      <c r="B182" s="978" t="s">
        <v>295</v>
      </c>
      <c r="C182" s="978"/>
      <c r="D182" s="978"/>
      <c r="E182" s="978"/>
      <c r="F182" s="978"/>
      <c r="G182" s="978"/>
      <c r="H182" s="780"/>
      <c r="J182" s="674"/>
      <c r="K182" s="833"/>
      <c r="M182" s="664"/>
    </row>
    <row r="183" spans="2:20" s="4" customFormat="1" ht="25" customHeight="1">
      <c r="B183" s="978"/>
      <c r="C183" s="978"/>
      <c r="D183" s="978"/>
      <c r="E183" s="978"/>
      <c r="F183" s="978"/>
      <c r="G183" s="978"/>
      <c r="H183" s="780"/>
      <c r="J183" s="674"/>
      <c r="K183" s="833"/>
      <c r="M183" s="664"/>
    </row>
    <row r="184" spans="2:20" s="4" customFormat="1" ht="25" customHeight="1">
      <c r="B184" s="978"/>
      <c r="C184" s="978"/>
      <c r="D184" s="978"/>
      <c r="E184" s="978"/>
      <c r="F184" s="978"/>
      <c r="G184" s="978"/>
      <c r="H184" s="780"/>
      <c r="J184" s="674"/>
      <c r="K184" s="833"/>
      <c r="M184" s="664"/>
    </row>
    <row r="185" spans="2:20" s="4" customFormat="1" ht="25" customHeight="1">
      <c r="B185" s="999" t="s">
        <v>570</v>
      </c>
      <c r="C185" s="999"/>
      <c r="D185" s="999"/>
      <c r="E185" s="999"/>
      <c r="F185" s="999"/>
      <c r="H185" s="780"/>
      <c r="J185" s="674"/>
      <c r="K185" s="833"/>
      <c r="M185" s="664"/>
    </row>
    <row r="186" spans="2:20" s="4" customFormat="1" ht="25" customHeight="1">
      <c r="B186" s="994" t="s">
        <v>543</v>
      </c>
      <c r="C186" s="994"/>
      <c r="D186" s="994"/>
      <c r="E186" s="994"/>
      <c r="F186" s="994"/>
      <c r="G186" s="677"/>
      <c r="H186" s="678"/>
      <c r="I186" s="677"/>
      <c r="J186" s="679"/>
      <c r="K186" s="834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834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858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651</v>
      </c>
      <c r="M189" s="664"/>
    </row>
    <row r="190" spans="2:20" ht="25" customHeight="1">
      <c r="B190" s="470" t="s">
        <v>208</v>
      </c>
      <c r="C190" s="23"/>
      <c r="D190" s="24" t="s">
        <v>271</v>
      </c>
      <c r="E190" s="132"/>
      <c r="F190" s="24"/>
      <c r="G190" s="131"/>
      <c r="H190" s="131"/>
      <c r="I190" s="23" t="s">
        <v>566</v>
      </c>
      <c r="J190" s="23"/>
      <c r="K190" s="612" t="s">
        <v>92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473</v>
      </c>
      <c r="C191" s="129"/>
      <c r="D191" s="30" t="s">
        <v>652</v>
      </c>
      <c r="E191" s="40"/>
      <c r="F191" s="30"/>
      <c r="G191" s="40"/>
      <c r="H191" s="40"/>
      <c r="I191" s="775" t="s">
        <v>94</v>
      </c>
      <c r="J191" s="775"/>
      <c r="K191" s="555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474</v>
      </c>
      <c r="C192" s="130"/>
      <c r="D192" s="38" t="s">
        <v>653</v>
      </c>
      <c r="E192" s="31"/>
      <c r="F192" s="771"/>
      <c r="G192" s="779"/>
      <c r="H192" s="779"/>
      <c r="I192" s="773" t="s">
        <v>655</v>
      </c>
      <c r="J192" s="773"/>
      <c r="K192" s="554" t="s">
        <v>656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475</v>
      </c>
      <c r="C193" s="129"/>
      <c r="D193" s="30" t="s">
        <v>654</v>
      </c>
      <c r="E193" s="129"/>
      <c r="F193" s="129"/>
      <c r="G193" s="129"/>
      <c r="H193" s="40"/>
      <c r="I193" s="770" t="s">
        <v>244</v>
      </c>
      <c r="J193" s="770"/>
      <c r="K193" s="555" t="s">
        <v>567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857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554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571</v>
      </c>
      <c r="C196" s="878"/>
      <c r="D196" s="878"/>
      <c r="F196" s="878"/>
      <c r="G196" s="878"/>
      <c r="H196" s="878"/>
      <c r="I196" s="879"/>
      <c r="J196" s="879"/>
      <c r="K196" s="704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572</v>
      </c>
      <c r="M197" s="664"/>
    </row>
    <row r="198" spans="2:18" ht="25" customHeight="1">
      <c r="B198" s="470" t="s">
        <v>208</v>
      </c>
      <c r="C198" s="23"/>
      <c r="D198" s="24" t="s">
        <v>271</v>
      </c>
      <c r="E198" s="132"/>
      <c r="F198" s="24"/>
      <c r="G198" s="131"/>
      <c r="H198" s="131"/>
      <c r="I198" s="23" t="s">
        <v>566</v>
      </c>
      <c r="J198" s="23"/>
      <c r="K198" s="612" t="s">
        <v>92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476</v>
      </c>
      <c r="C199" s="129"/>
      <c r="D199" s="30" t="s">
        <v>166</v>
      </c>
      <c r="E199" s="40"/>
      <c r="F199" s="30"/>
      <c r="G199" s="40"/>
      <c r="H199" s="40"/>
      <c r="I199" s="770" t="s">
        <v>244</v>
      </c>
      <c r="J199" s="770"/>
      <c r="K199" s="629">
        <f>PS_consult.jun_SEK</f>
        <v>1127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477</v>
      </c>
      <c r="C200" s="130"/>
      <c r="D200" s="38" t="s">
        <v>168</v>
      </c>
      <c r="E200" s="31"/>
      <c r="F200" s="771"/>
      <c r="G200" s="779"/>
      <c r="H200" s="779"/>
      <c r="I200" s="773" t="s">
        <v>244</v>
      </c>
      <c r="J200" s="773"/>
      <c r="K200" s="867">
        <f>PS_consult.sen_SEK</f>
        <v>1374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478</v>
      </c>
      <c r="C201" s="129"/>
      <c r="D201" s="30" t="s">
        <v>170</v>
      </c>
      <c r="E201" s="40"/>
      <c r="F201" s="30"/>
      <c r="G201" s="40"/>
      <c r="H201" s="40"/>
      <c r="I201" s="770" t="s">
        <v>244</v>
      </c>
      <c r="J201" s="770"/>
      <c r="K201" s="629">
        <f>PS_cloudarch.jun_SEK</f>
        <v>1277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479</v>
      </c>
      <c r="C202" s="130"/>
      <c r="D202" s="38" t="s">
        <v>172</v>
      </c>
      <c r="E202" s="38"/>
      <c r="F202" s="38"/>
      <c r="G202" s="779"/>
      <c r="H202" s="779"/>
      <c r="I202" s="773" t="s">
        <v>244</v>
      </c>
      <c r="J202" s="773"/>
      <c r="K202" s="867">
        <f>PS_cloudarch.sen_SEK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480</v>
      </c>
      <c r="C203" s="129"/>
      <c r="D203" s="30" t="s">
        <v>174</v>
      </c>
      <c r="E203" s="40"/>
      <c r="F203" s="30"/>
      <c r="G203" s="40"/>
      <c r="H203" s="40"/>
      <c r="I203" s="770" t="s">
        <v>244</v>
      </c>
      <c r="J203" s="770"/>
      <c r="K203" s="629">
        <f>PS_pm.jun_SEK</f>
        <v>1139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481</v>
      </c>
      <c r="C204" s="130"/>
      <c r="D204" s="38" t="s">
        <v>176</v>
      </c>
      <c r="E204" s="31"/>
      <c r="F204" s="771"/>
      <c r="G204" s="779"/>
      <c r="H204" s="779"/>
      <c r="I204" s="773" t="s">
        <v>244</v>
      </c>
      <c r="J204" s="773"/>
      <c r="K204" s="867">
        <f>PS_pm.sen_SEK</f>
        <v>1374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857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554"/>
      <c r="M206" s="664"/>
      <c r="N206" s="742"/>
      <c r="O206" s="8"/>
    </row>
    <row r="207" spans="2:18" ht="25" customHeight="1">
      <c r="B207" s="649" t="s">
        <v>300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657</v>
      </c>
      <c r="M208" s="664"/>
    </row>
    <row r="209" spans="1:18" ht="25" customHeight="1">
      <c r="B209" s="470" t="s">
        <v>208</v>
      </c>
      <c r="C209" s="23"/>
      <c r="D209" s="24" t="s">
        <v>271</v>
      </c>
      <c r="E209" s="132"/>
      <c r="F209" s="24"/>
      <c r="G209" s="24"/>
      <c r="H209" s="23" t="s">
        <v>658</v>
      </c>
      <c r="I209" s="23" t="s">
        <v>566</v>
      </c>
      <c r="J209" s="23"/>
      <c r="K209" s="612" t="s">
        <v>92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598</v>
      </c>
      <c r="C210" s="129"/>
      <c r="D210" s="30" t="s">
        <v>661</v>
      </c>
      <c r="E210" s="40"/>
      <c r="F210" s="30"/>
      <c r="G210" s="30"/>
      <c r="H210" s="770" t="s">
        <v>251</v>
      </c>
      <c r="I210" s="770" t="s">
        <v>662</v>
      </c>
      <c r="J210" s="770"/>
      <c r="K210" s="555" t="s">
        <v>567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599</v>
      </c>
      <c r="C211" s="130"/>
      <c r="D211" s="38" t="s">
        <v>660</v>
      </c>
      <c r="E211" s="31"/>
      <c r="F211" s="771"/>
      <c r="G211" s="771"/>
      <c r="H211" s="773" t="s">
        <v>251</v>
      </c>
      <c r="I211" s="773" t="s">
        <v>662</v>
      </c>
      <c r="J211" s="773"/>
      <c r="K211" s="554" t="s">
        <v>567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600</v>
      </c>
      <c r="C212" s="129"/>
      <c r="D212" s="30" t="s">
        <v>659</v>
      </c>
      <c r="E212" s="40"/>
      <c r="F212" s="30"/>
      <c r="G212" s="30"/>
      <c r="H212" s="770" t="s">
        <v>573</v>
      </c>
      <c r="I212" s="770" t="s">
        <v>662</v>
      </c>
      <c r="J212" s="770"/>
      <c r="K212" s="555" t="s">
        <v>567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601</v>
      </c>
      <c r="C213" s="130"/>
      <c r="D213" s="38" t="s">
        <v>307</v>
      </c>
      <c r="E213" s="31"/>
      <c r="F213" s="771"/>
      <c r="G213" s="771"/>
      <c r="H213" s="773" t="s">
        <v>573</v>
      </c>
      <c r="I213" s="773" t="s">
        <v>662</v>
      </c>
      <c r="J213" s="773"/>
      <c r="K213" s="554" t="s">
        <v>567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857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847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8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997" t="s">
        <v>308</v>
      </c>
      <c r="C220" s="997"/>
      <c r="D220" s="997"/>
      <c r="E220" s="997"/>
      <c r="F220" s="997"/>
      <c r="G220" s="997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97"/>
      <c r="C221" s="997"/>
      <c r="D221" s="997"/>
      <c r="E221" s="997"/>
      <c r="F221" s="997"/>
      <c r="G221" s="997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97"/>
      <c r="C222" s="997"/>
      <c r="D222" s="997"/>
      <c r="E222" s="997"/>
      <c r="F222" s="997"/>
      <c r="G222" s="997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98" t="s">
        <v>543</v>
      </c>
      <c r="C223" s="998"/>
      <c r="D223" s="998"/>
      <c r="E223" s="998"/>
      <c r="F223" s="998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22" t="s">
        <v>574</v>
      </c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18" t="s">
        <v>426</v>
      </c>
      <c r="C226" s="62"/>
      <c r="D226" s="62"/>
      <c r="E226" s="62"/>
      <c r="F226" s="62"/>
      <c r="G226" s="3"/>
      <c r="H226" s="666"/>
      <c r="I226" s="3"/>
      <c r="J226" s="667"/>
      <c r="K226" s="831"/>
      <c r="L226" s="794"/>
      <c r="M226" s="664"/>
    </row>
    <row r="227" spans="1:20" s="4" customFormat="1" ht="25" customHeight="1">
      <c r="A227" s="3"/>
      <c r="B227" s="971" t="s">
        <v>596</v>
      </c>
      <c r="C227" s="67"/>
      <c r="D227" s="67"/>
      <c r="E227" s="67"/>
      <c r="F227" s="67"/>
      <c r="G227" s="794"/>
      <c r="H227" s="795"/>
      <c r="I227" s="794"/>
      <c r="J227" s="796"/>
      <c r="K227" s="8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8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482</v>
      </c>
      <c r="C229" s="56"/>
      <c r="D229" s="57"/>
      <c r="E229" s="56"/>
      <c r="F229" s="659"/>
      <c r="G229" s="659"/>
      <c r="H229" s="659"/>
      <c r="I229" s="56"/>
      <c r="J229" s="659" t="s">
        <v>308</v>
      </c>
      <c r="K229" s="8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Blokklagring"</f>
        <v>0 vCPU     /     0 GB RAM     /     0 GB  NVMe     /     0 GB Blokklagring</v>
      </c>
      <c r="D230" s="71"/>
      <c r="E230" s="656"/>
      <c r="F230" s="656"/>
      <c r="G230" s="657"/>
      <c r="H230" s="800"/>
      <c r="I230" s="801"/>
      <c r="J230" s="660">
        <f>K66+K75+K57+K40+K84</f>
        <v>0</v>
      </c>
      <c r="K230" s="828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S3"&amp;"     /     "&amp;K95&amp;" TB - Archive"</f>
        <v>0 TB - S3     /     0 TB - Archive</v>
      </c>
      <c r="D231" s="658"/>
      <c r="E231" s="658"/>
      <c r="F231" s="802"/>
      <c r="G231" s="803"/>
      <c r="H231" s="803"/>
      <c r="I231" s="804"/>
      <c r="J231" s="661">
        <f>K97</f>
        <v>0</v>
      </c>
      <c r="K231" s="828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661">
        <f>K121</f>
        <v>0</v>
      </c>
      <c r="K232" s="828"/>
      <c r="L232" s="2"/>
      <c r="M232" s="664"/>
      <c r="N232" s="28"/>
    </row>
    <row r="233" spans="1:20" s="808" customFormat="1" ht="25" customHeight="1">
      <c r="A233" s="806"/>
      <c r="B233" s="917" t="s">
        <v>222</v>
      </c>
      <c r="C233" s="662"/>
      <c r="D233" s="662"/>
      <c r="E233" s="662"/>
      <c r="F233" s="662"/>
      <c r="G233" s="662"/>
      <c r="H233" s="662"/>
      <c r="I233" s="662"/>
      <c r="J233" s="662">
        <f>SUM(J230:J232)</f>
        <v>0</v>
      </c>
      <c r="K233" s="8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8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828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594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865"/>
    </row>
    <row r="238" spans="1:20" s="112" customFormat="1" ht="25" customHeight="1">
      <c r="B238" s="913" t="s">
        <v>663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3" t="s">
        <v>555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4" t="s">
        <v>556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3" t="s">
        <v>557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5" t="s">
        <v>664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29" spans="2:4" ht="25" customHeight="1">
      <c r="B329" s="647"/>
      <c r="C329" s="38"/>
      <c r="D329" s="96"/>
    </row>
  </sheetData>
  <sheetProtection algorithmName="SHA-512" hashValue="TeXO5i3iHzhpfVzSOyXKBANhqT7AYANW51Cx392gchMmlG1inruMe1RjWN4PiZb5VNWOu00GXhYVOJZSNNvCsw==" saltValue="neJfbEgMMFNOobwXJZ70wg==" spinCount="100000" sheet="1" selectLockedCells="1"/>
  <mergeCells count="47">
    <mergeCell ref="B185:F185"/>
    <mergeCell ref="B186:F186"/>
    <mergeCell ref="B220:G222"/>
    <mergeCell ref="B223:F223"/>
    <mergeCell ref="B114:F114"/>
    <mergeCell ref="B129:F129"/>
    <mergeCell ref="B142:F142"/>
    <mergeCell ref="C134:D134"/>
    <mergeCell ref="E134:F134"/>
    <mergeCell ref="G134:H134"/>
    <mergeCell ref="B139:G141"/>
    <mergeCell ref="B143:F143"/>
    <mergeCell ref="B182:G184"/>
    <mergeCell ref="C133:D133"/>
    <mergeCell ref="E133:F133"/>
    <mergeCell ref="G133:H133"/>
    <mergeCell ref="B110:G112"/>
    <mergeCell ref="B125:G127"/>
    <mergeCell ref="C132:D132"/>
    <mergeCell ref="E132:F132"/>
    <mergeCell ref="G132:H132"/>
    <mergeCell ref="D105:E105"/>
    <mergeCell ref="F105:G105"/>
    <mergeCell ref="H105:I105"/>
    <mergeCell ref="D106:E106"/>
    <mergeCell ref="F106:G106"/>
    <mergeCell ref="H106:I106"/>
    <mergeCell ref="D103:E103"/>
    <mergeCell ref="F103:G103"/>
    <mergeCell ref="H103:I103"/>
    <mergeCell ref="D104:E104"/>
    <mergeCell ref="F104:G104"/>
    <mergeCell ref="H104:I104"/>
    <mergeCell ref="D102:E102"/>
    <mergeCell ref="F102:G102"/>
    <mergeCell ref="H102:I102"/>
    <mergeCell ref="B4:C4"/>
    <mergeCell ref="B15:G17"/>
    <mergeCell ref="B19:F19"/>
    <mergeCell ref="B60:E60"/>
    <mergeCell ref="B70:E70"/>
    <mergeCell ref="B87:G89"/>
    <mergeCell ref="D100:E100"/>
    <mergeCell ref="F100:G100"/>
    <mergeCell ref="H100:I100"/>
    <mergeCell ref="B24:E24"/>
    <mergeCell ref="B45:E45"/>
  </mergeCells>
  <phoneticPr fontId="2" type="noConversion"/>
  <conditionalFormatting sqref="I26:I39 K26:K39 I47:I56 K47:K56 I62:I65 K62:K65 I72:I74 K72:K74 I81:I83 K81:K83 I95:I96 K95:K96 I118:I120 K118:K120 J119:J120">
    <cfRule type="cellIs" dxfId="58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7" r:id="rId3" xr:uid="{7F14D1CB-A769-8349-8EB6-C9B1564A829D}"/>
    <hyperlink ref="B60" location="'SEK - Safesprings tjänster 2022'!I83" display="Central blocklagring kan köpas till insatserna. Se &quot;Central blocklagring&quot; i prislistan." xr:uid="{0F7D6EBE-406B-D343-BF62-41C617272953}"/>
    <hyperlink ref="B60:E60" location="'SEK - Safesprings tjänster 2022'!I81" display="Central blocklagring kan köpas till insatserna. Se &quot;Central blocklagring&quot; i prislistan." xr:uid="{7E64E7BF-BAA3-654A-8516-E139F449EC73}"/>
    <hyperlink ref="B70" location="'SEK - Safesprings tjänster 2022'!I83" display="Central blocklagring kan köpas till insatserna. Se &quot;Central blocklagring&quot; i prislistan." xr:uid="{75FFEC3A-33F0-2843-9D30-6F73F6C7DA12}"/>
    <hyperlink ref="B70:E70" location="'SEK - Safesprings tjänster 2022'!I81" display="Central blocklagring kan köpas till insatserna. Se &quot;Central blocklagring&quot; i prislistan." xr:uid="{9FF4445D-B089-1147-93E8-440AA59C77E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ignoredErrors>
    <ignoredError sqref="G82" formula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1031"/>
      <c r="C4" s="1031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423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1033" t="str">
        <f>"1 SEK = "&amp;EUR&amp;" EUR"</f>
        <v>1 SEK = 0,089 EUR</v>
      </c>
      <c r="E11" s="1033"/>
      <c r="F11" s="1033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1005" t="s">
        <v>4</v>
      </c>
      <c r="C15" s="1005"/>
      <c r="D15" s="1005"/>
      <c r="E15" s="1005"/>
      <c r="F15" s="1005"/>
      <c r="G15" s="1005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1005"/>
      <c r="C16" s="1005"/>
      <c r="D16" s="1005"/>
      <c r="E16" s="1005"/>
      <c r="F16" s="1005"/>
      <c r="G16" s="1005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1005"/>
      <c r="C17" s="1005"/>
      <c r="D17" s="1005"/>
      <c r="E17" s="1005"/>
      <c r="F17" s="1005"/>
      <c r="G17" s="1005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32" t="s">
        <v>6</v>
      </c>
      <c r="C19" s="1032"/>
      <c r="D19" s="1032"/>
      <c r="E19" s="1032"/>
      <c r="F19" s="1032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394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405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385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386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405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24" t="s">
        <v>65</v>
      </c>
      <c r="G88" s="1024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1037">
        <f>VOLUME_large_EUR</f>
        <v>0.10679999999999999</v>
      </c>
      <c r="G89" s="1037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1053">
        <f>VOLUME_fast_EUR</f>
        <v>0.32040000000000002</v>
      </c>
      <c r="G90" s="1053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1005" t="s">
        <v>72</v>
      </c>
      <c r="C95" s="1005"/>
      <c r="D95" s="1005"/>
      <c r="E95" s="1005"/>
      <c r="F95" s="1005"/>
      <c r="G95" s="1005"/>
      <c r="H95" s="177"/>
      <c r="J95" s="178"/>
      <c r="K95" s="178"/>
      <c r="M95" s="565"/>
      <c r="O95" s="168"/>
    </row>
    <row r="96" spans="2:23" s="169" customFormat="1" ht="25" customHeight="1">
      <c r="B96" s="1005"/>
      <c r="C96" s="1005"/>
      <c r="D96" s="1005"/>
      <c r="E96" s="1005"/>
      <c r="F96" s="1005"/>
      <c r="G96" s="1005"/>
      <c r="H96" s="177"/>
      <c r="J96" s="178"/>
      <c r="K96" s="178"/>
      <c r="M96" s="565"/>
      <c r="O96" s="168"/>
    </row>
    <row r="97" spans="2:22" s="169" customFormat="1" ht="25" customHeight="1">
      <c r="B97" s="1005"/>
      <c r="C97" s="1005"/>
      <c r="D97" s="1005"/>
      <c r="E97" s="1005"/>
      <c r="F97" s="1005"/>
      <c r="G97" s="1005"/>
      <c r="H97" s="177"/>
      <c r="J97" s="178"/>
      <c r="K97" s="178"/>
      <c r="M97" s="565"/>
      <c r="O97" s="168"/>
    </row>
    <row r="98" spans="2:22" s="169" customFormat="1" ht="25" customHeight="1">
      <c r="B98" s="1054" t="s">
        <v>73</v>
      </c>
      <c r="C98" s="1054"/>
      <c r="D98" s="1054"/>
      <c r="E98" s="1054"/>
      <c r="F98" s="1054"/>
      <c r="H98" s="177"/>
      <c r="J98" s="178"/>
      <c r="K98" s="178"/>
      <c r="M98" s="565"/>
      <c r="N98" s="182"/>
      <c r="O98" s="187"/>
    </row>
    <row r="99" spans="2:22" s="291" customFormat="1" ht="25" customHeight="1">
      <c r="B99" s="1032" t="s">
        <v>74</v>
      </c>
      <c r="C99" s="1032"/>
      <c r="D99" s="1032"/>
      <c r="E99" s="1032"/>
      <c r="F99" s="1032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24" t="s">
        <v>76</v>
      </c>
      <c r="E102" s="1024"/>
      <c r="F102" s="1024"/>
      <c r="G102" s="1024"/>
      <c r="H102" s="266" t="s">
        <v>75</v>
      </c>
      <c r="I102" s="265"/>
      <c r="J102" s="1024"/>
      <c r="K102" s="1024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415</v>
      </c>
      <c r="D104" s="1035">
        <f>S3_storage.50_EUR</f>
        <v>31.15</v>
      </c>
      <c r="E104" s="1035"/>
      <c r="F104" s="1036"/>
      <c r="G104" s="1036"/>
      <c r="H104" s="1036"/>
      <c r="I104" s="1036"/>
      <c r="J104" s="1036"/>
      <c r="K104" s="1036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416</v>
      </c>
      <c r="D105" s="1023">
        <f>S3_storage.100_EUR</f>
        <v>24.029999999999998</v>
      </c>
      <c r="E105" s="1023"/>
      <c r="F105" s="1028"/>
      <c r="G105" s="1028"/>
      <c r="H105" s="1028"/>
      <c r="I105" s="1028"/>
      <c r="J105" s="1028"/>
      <c r="K105" s="1028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417</v>
      </c>
      <c r="D106" s="1027">
        <f>S3_storage.500_EUR</f>
        <v>17.8</v>
      </c>
      <c r="E106" s="1027"/>
      <c r="F106" s="1022"/>
      <c r="G106" s="1022"/>
      <c r="H106" s="1022"/>
      <c r="I106" s="1022"/>
      <c r="J106" s="1022"/>
      <c r="K106" s="1022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418</v>
      </c>
      <c r="D107" s="1023">
        <f>S3_storage.1000_EUR</f>
        <v>16.465</v>
      </c>
      <c r="E107" s="1023"/>
      <c r="F107" s="1028"/>
      <c r="G107" s="1028"/>
      <c r="H107" s="1028"/>
      <c r="I107" s="1028"/>
      <c r="J107" s="1028"/>
      <c r="K107" s="1028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419</v>
      </c>
      <c r="D108" s="1029" t="str">
        <f>S3_storage.quote_EUR</f>
        <v>Request a quote</v>
      </c>
      <c r="E108" s="1029"/>
      <c r="F108" s="1030"/>
      <c r="G108" s="1030"/>
      <c r="H108" s="1030"/>
      <c r="I108" s="1030"/>
      <c r="J108" s="1030"/>
      <c r="K108" s="1030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389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34" t="s">
        <v>76</v>
      </c>
      <c r="E111" s="1034"/>
      <c r="F111" s="1024"/>
      <c r="G111" s="1024"/>
      <c r="H111" s="266" t="s">
        <v>75</v>
      </c>
      <c r="I111" s="266"/>
      <c r="J111" s="1024"/>
      <c r="K111" s="1024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409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409</v>
      </c>
      <c r="C113" s="604" t="s">
        <v>415</v>
      </c>
      <c r="D113" s="1035">
        <f>S3_archive.50_EUR</f>
        <v>31.15</v>
      </c>
      <c r="E113" s="1035"/>
      <c r="F113" s="1036"/>
      <c r="G113" s="1036"/>
      <c r="H113" s="1036"/>
      <c r="I113" s="1036"/>
      <c r="J113" s="1036"/>
      <c r="K113" s="1036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409</v>
      </c>
      <c r="C114" s="616" t="s">
        <v>416</v>
      </c>
      <c r="D114" s="1023">
        <f>S3_archive.100_EUR</f>
        <v>24.029999999999998</v>
      </c>
      <c r="E114" s="1023"/>
      <c r="F114" s="1028"/>
      <c r="G114" s="1028"/>
      <c r="H114" s="1028"/>
      <c r="I114" s="1028"/>
      <c r="J114" s="1028"/>
      <c r="K114" s="1028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409</v>
      </c>
      <c r="C115" s="604" t="s">
        <v>417</v>
      </c>
      <c r="D115" s="1027">
        <f>S3_archive.500_EUR</f>
        <v>17.8</v>
      </c>
      <c r="E115" s="1027"/>
      <c r="F115" s="1022"/>
      <c r="G115" s="1022"/>
      <c r="H115" s="1022"/>
      <c r="I115" s="1022"/>
      <c r="J115" s="1022"/>
      <c r="K115" s="1022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409</v>
      </c>
      <c r="C116" s="616" t="s">
        <v>418</v>
      </c>
      <c r="D116" s="1023">
        <f>S3_archive.1000_EUR</f>
        <v>16.465</v>
      </c>
      <c r="E116" s="1023"/>
      <c r="F116" s="1028"/>
      <c r="G116" s="1028"/>
      <c r="H116" s="1028"/>
      <c r="I116" s="1028"/>
      <c r="J116" s="1028"/>
      <c r="K116" s="1028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409</v>
      </c>
      <c r="C117" s="608" t="s">
        <v>419</v>
      </c>
      <c r="D117" s="1029" t="str">
        <f>S3_archive.quote_EUR</f>
        <v>Request a quote</v>
      </c>
      <c r="E117" s="1029"/>
      <c r="F117" s="1030"/>
      <c r="G117" s="1030"/>
      <c r="H117" s="1030"/>
      <c r="I117" s="1030"/>
      <c r="J117" s="1030"/>
      <c r="K117" s="1030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389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1005" t="s">
        <v>86</v>
      </c>
      <c r="C122" s="1005"/>
      <c r="D122" s="1005"/>
      <c r="E122" s="1005"/>
      <c r="F122" s="1005"/>
      <c r="G122" s="1005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1005"/>
      <c r="C123" s="1005"/>
      <c r="D123" s="1005"/>
      <c r="E123" s="1005"/>
      <c r="F123" s="1005"/>
      <c r="G123" s="1005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1005"/>
      <c r="C124" s="1005"/>
      <c r="D124" s="1005"/>
      <c r="E124" s="1005"/>
      <c r="F124" s="1005"/>
      <c r="G124" s="1005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1026" t="s">
        <v>87</v>
      </c>
      <c r="C125" s="1026"/>
      <c r="D125" s="1026"/>
      <c r="E125" s="1026"/>
      <c r="F125" s="1026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1006" t="s">
        <v>6</v>
      </c>
      <c r="C126" s="1006"/>
      <c r="D126" s="1006"/>
      <c r="E126" s="1006"/>
      <c r="F126" s="1006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24" t="s">
        <v>89</v>
      </c>
      <c r="G129" s="1024"/>
      <c r="H129" s="266" t="s">
        <v>90</v>
      </c>
      <c r="I129" s="265"/>
      <c r="J129" s="1038" t="s">
        <v>91</v>
      </c>
      <c r="K129" s="1038"/>
      <c r="L129" s="533"/>
      <c r="M129" s="575" t="s">
        <v>92</v>
      </c>
      <c r="N129" s="252"/>
      <c r="O129" s="160"/>
    </row>
    <row r="130" spans="2:34" ht="25" customHeight="1">
      <c r="B130" s="1039" t="s">
        <v>93</v>
      </c>
      <c r="C130" s="1039"/>
      <c r="D130" s="467" t="s">
        <v>94</v>
      </c>
      <c r="E130" s="29"/>
      <c r="F130" s="1040">
        <f>BAAS_on.demand_EUR</f>
        <v>0.21804999999999999</v>
      </c>
      <c r="G130" s="1041"/>
      <c r="H130" s="307">
        <v>0</v>
      </c>
      <c r="I130" s="272" t="s">
        <v>69</v>
      </c>
      <c r="J130" s="1042" t="s">
        <v>94</v>
      </c>
      <c r="K130" s="1042"/>
      <c r="L130" s="308"/>
      <c r="M130" s="576">
        <f>ROUNDUP(H130*F130,2)</f>
        <v>0</v>
      </c>
      <c r="N130" s="252"/>
      <c r="O130" s="160"/>
    </row>
    <row r="131" spans="2:34" ht="25" customHeight="1">
      <c r="B131" s="1043" t="s">
        <v>95</v>
      </c>
      <c r="C131" s="1043"/>
      <c r="D131" s="468">
        <f>BAAS_small.fee_EUR</f>
        <v>489.5</v>
      </c>
      <c r="E131" s="32"/>
      <c r="F131" s="1044">
        <f>BAAS_small_EUR</f>
        <v>0.15575</v>
      </c>
      <c r="G131" s="1045"/>
      <c r="H131" s="309">
        <v>0</v>
      </c>
      <c r="I131" s="276" t="s">
        <v>69</v>
      </c>
      <c r="J131" s="1046">
        <v>0.75</v>
      </c>
      <c r="K131" s="1047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48" t="s">
        <v>96</v>
      </c>
      <c r="C132" s="1048"/>
      <c r="D132" s="469">
        <f>BAAS_large.fee_EUR</f>
        <v>845.5</v>
      </c>
      <c r="E132" s="35"/>
      <c r="F132" s="1049">
        <f>BAAS_large_EUR</f>
        <v>8.1879999999999994E-2</v>
      </c>
      <c r="G132" s="1050"/>
      <c r="H132" s="298">
        <v>0</v>
      </c>
      <c r="I132" s="299" t="s">
        <v>69</v>
      </c>
      <c r="J132" s="1051">
        <v>0.75</v>
      </c>
      <c r="K132" s="1052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389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25" t="s">
        <v>97</v>
      </c>
      <c r="C135" s="1025"/>
      <c r="D135" s="1025"/>
      <c r="E135" s="1025"/>
      <c r="F135" s="1025"/>
      <c r="G135" s="1025"/>
      <c r="H135" s="1025"/>
      <c r="I135" s="1025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25" t="s">
        <v>98</v>
      </c>
      <c r="C136" s="1025"/>
      <c r="D136" s="1025"/>
      <c r="E136" s="1025"/>
      <c r="F136" s="1025"/>
      <c r="G136" s="1025"/>
      <c r="H136" s="1025"/>
      <c r="I136" s="1025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1025" t="s">
        <v>99</v>
      </c>
      <c r="C137" s="1025"/>
      <c r="D137" s="1025"/>
      <c r="E137" s="1025"/>
      <c r="F137" s="1025"/>
      <c r="G137" s="1025"/>
      <c r="H137" s="1025"/>
      <c r="I137" s="1025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1025" t="s">
        <v>404</v>
      </c>
      <c r="C138" s="1025"/>
      <c r="D138" s="1025"/>
      <c r="E138" s="1025"/>
      <c r="F138" s="1025"/>
      <c r="G138" s="1025"/>
      <c r="H138" s="1025"/>
      <c r="I138" s="1025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1005" t="s">
        <v>100</v>
      </c>
      <c r="C143" s="1005"/>
      <c r="D143" s="1005"/>
      <c r="E143" s="1005"/>
      <c r="F143" s="1005"/>
      <c r="G143" s="1005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1005"/>
      <c r="C144" s="1005"/>
      <c r="D144" s="1005"/>
      <c r="E144" s="1005"/>
      <c r="F144" s="1005"/>
      <c r="G144" s="1005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1005"/>
      <c r="C145" s="1005"/>
      <c r="D145" s="1005"/>
      <c r="E145" s="1005"/>
      <c r="F145" s="1005"/>
      <c r="G145" s="1005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1006" t="s">
        <v>6</v>
      </c>
      <c r="C146" s="1006"/>
      <c r="D146" s="1006"/>
      <c r="E146" s="1006"/>
      <c r="F146" s="1006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1007"/>
      <c r="C147" s="1007"/>
      <c r="D147" s="1007"/>
      <c r="E147" s="1007"/>
      <c r="F147" s="1007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1003" t="s">
        <v>14</v>
      </c>
      <c r="M150" s="1003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1004">
        <f>NET_publicv4_EUR</f>
        <v>2.2250000000000001</v>
      </c>
      <c r="M151" s="1004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56">
        <f>NET_publicv6_EUR</f>
        <v>0</v>
      </c>
      <c r="M152" s="1056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57">
        <f>NET_ingress_EUR</f>
        <v>0</v>
      </c>
      <c r="M153" s="1057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56">
        <f>NET_egress_EUR</f>
        <v>0</v>
      </c>
      <c r="M154" s="1056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18" t="str">
        <f>NET_mgn.slb_EUR</f>
        <v>Request a quote</v>
      </c>
      <c r="M155" s="1018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56">
        <f>NET_rdns_EUR</f>
        <v>0</v>
      </c>
      <c r="M156" s="1056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18">
        <f>NET_byoip_EUR</f>
        <v>0</v>
      </c>
      <c r="M157" s="1018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55"/>
      <c r="M158" s="1055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1002"/>
      <c r="M159" s="1002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1003" t="s">
        <v>14</v>
      </c>
      <c r="M160" s="1003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1004">
        <f>SW_win.ser.201X_EUR</f>
        <v>15.574999999999999</v>
      </c>
      <c r="M161" s="1004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61">
        <f>SW_win.ser.201X_EUR</f>
        <v>15.574999999999999</v>
      </c>
      <c r="M162" s="1061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403</v>
      </c>
      <c r="F163" s="316"/>
      <c r="G163" s="317"/>
      <c r="H163" s="317"/>
      <c r="I163" s="317"/>
      <c r="J163" s="317"/>
      <c r="K163" s="318" t="s">
        <v>10</v>
      </c>
      <c r="L163" s="1018">
        <f>SW_ms.sql.ser_EUR</f>
        <v>109.381</v>
      </c>
      <c r="M163" s="1018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62" t="str">
        <f>SW_stackn_EUR</f>
        <v>Request a quote</v>
      </c>
      <c r="M164" s="1062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63" t="str">
        <f>SW_nextcloud_EUR</f>
        <v>Request a quote</v>
      </c>
      <c r="M165" s="1063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62" t="str">
        <f>SW_suse_EUR</f>
        <v>Request a quote</v>
      </c>
      <c r="M166" s="1062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63" t="str">
        <f>SW_cluster.control_EUR</f>
        <v>3x instance price</v>
      </c>
      <c r="M167" s="1063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19">
        <f>SW_backup.ninja_EUR</f>
        <v>35.6</v>
      </c>
      <c r="M168" s="1019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20"/>
      <c r="M169" s="1020"/>
      <c r="O169" s="205"/>
      <c r="P169" s="190"/>
      <c r="R169" s="284"/>
      <c r="S169" s="189"/>
    </row>
    <row r="170" spans="2:22" ht="25" customHeight="1">
      <c r="B170" s="471"/>
      <c r="K170" s="334"/>
      <c r="L170" s="1058"/>
      <c r="M170" s="1058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1002"/>
      <c r="M171" s="1002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1003" t="s">
        <v>14</v>
      </c>
      <c r="M172" s="1003"/>
      <c r="O172" s="205"/>
      <c r="Q172" s="191"/>
      <c r="R172" s="284"/>
      <c r="S172" s="189"/>
    </row>
    <row r="173" spans="2:22" ht="25" customHeight="1">
      <c r="B173" s="134" t="s">
        <v>399</v>
      </c>
      <c r="C173" s="129"/>
      <c r="D173" s="30"/>
      <c r="E173" s="30" t="s">
        <v>401</v>
      </c>
      <c r="F173" s="316"/>
      <c r="G173" s="317"/>
      <c r="H173" s="317"/>
      <c r="I173" s="317"/>
      <c r="J173" s="317"/>
      <c r="K173" s="318"/>
      <c r="L173" s="1068" t="str">
        <f>PAAS_man.kubernetes24_EUR</f>
        <v>Request a quote</v>
      </c>
      <c r="M173" s="1068"/>
      <c r="O173" s="205"/>
      <c r="Q173" s="191"/>
      <c r="R173" s="284"/>
      <c r="S173" s="189"/>
    </row>
    <row r="174" spans="2:22" ht="25" customHeight="1">
      <c r="B174" s="137" t="s">
        <v>400</v>
      </c>
      <c r="C174" s="130"/>
      <c r="D174" s="38"/>
      <c r="E174" s="38" t="s">
        <v>402</v>
      </c>
      <c r="F174" s="319"/>
      <c r="G174" s="320"/>
      <c r="H174" s="320"/>
      <c r="I174" s="320"/>
      <c r="J174" s="320"/>
      <c r="K174" s="324"/>
      <c r="L174" s="1069" t="str">
        <f>PAAS_man.kubernetes8_EUR</f>
        <v>Request a quote</v>
      </c>
      <c r="M174" s="1069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59" t="str">
        <f>PAAS_man.elasticsearch_EUR</f>
        <v>Request a quote</v>
      </c>
      <c r="M175" s="1059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69" t="str">
        <f>PAAS_man.redis_EUR</f>
        <v>Request a quote</v>
      </c>
      <c r="M176" s="1069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59" t="str">
        <f>PAAS_man.nats_EUR</f>
        <v>Request a quote</v>
      </c>
      <c r="M177" s="1059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60" t="str">
        <f>PAAS_man.mariadb_EUR</f>
        <v>Request a quote</v>
      </c>
      <c r="M178" s="1060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20"/>
      <c r="M179" s="1020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66"/>
      <c r="M180" s="1066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67"/>
      <c r="M181" s="1067"/>
      <c r="N181" s="189"/>
      <c r="O181" s="205"/>
      <c r="P181" s="180"/>
      <c r="Q181" s="180"/>
    </row>
    <row r="182" spans="2:19" s="169" customFormat="1" ht="25" customHeight="1">
      <c r="B182" s="1005" t="s">
        <v>151</v>
      </c>
      <c r="C182" s="1005"/>
      <c r="D182" s="1005"/>
      <c r="E182" s="1005"/>
      <c r="F182" s="1005"/>
      <c r="G182" s="1005"/>
      <c r="H182" s="335"/>
      <c r="J182" s="178"/>
      <c r="L182" s="1011"/>
      <c r="M182" s="1011"/>
      <c r="N182" s="189"/>
      <c r="O182" s="205"/>
    </row>
    <row r="183" spans="2:19" s="169" customFormat="1" ht="25" customHeight="1">
      <c r="B183" s="1005"/>
      <c r="C183" s="1005"/>
      <c r="D183" s="1005"/>
      <c r="E183" s="1005"/>
      <c r="F183" s="1005"/>
      <c r="G183" s="1005"/>
      <c r="H183" s="335"/>
      <c r="J183" s="178"/>
      <c r="L183" s="1011"/>
      <c r="M183" s="1011"/>
      <c r="N183" s="189"/>
      <c r="O183" s="205"/>
    </row>
    <row r="184" spans="2:19" s="169" customFormat="1" ht="25" customHeight="1">
      <c r="B184" s="1005"/>
      <c r="C184" s="1005"/>
      <c r="D184" s="1005"/>
      <c r="E184" s="1005"/>
      <c r="F184" s="1005"/>
      <c r="G184" s="1005"/>
      <c r="H184" s="335"/>
      <c r="J184" s="178"/>
      <c r="L184" s="1011"/>
      <c r="M184" s="1011"/>
      <c r="N184" s="189"/>
      <c r="O184" s="205"/>
    </row>
    <row r="185" spans="2:19" s="169" customFormat="1" ht="25" customHeight="1">
      <c r="B185" s="1006" t="s">
        <v>6</v>
      </c>
      <c r="C185" s="1006"/>
      <c r="D185" s="1006"/>
      <c r="E185" s="1006"/>
      <c r="F185" s="1006"/>
      <c r="H185" s="335"/>
      <c r="J185" s="178"/>
      <c r="L185" s="1011"/>
      <c r="M185" s="1011"/>
      <c r="N185" s="189"/>
      <c r="O185" s="205"/>
    </row>
    <row r="186" spans="2:19" s="169" customFormat="1" ht="25" customHeight="1">
      <c r="B186" s="1007"/>
      <c r="C186" s="1007"/>
      <c r="D186" s="1007"/>
      <c r="E186" s="1007"/>
      <c r="F186" s="1007"/>
      <c r="G186" s="182"/>
      <c r="H186" s="183"/>
      <c r="I186" s="182"/>
      <c r="J186" s="184"/>
      <c r="K186" s="182"/>
      <c r="L186" s="1012"/>
      <c r="M186" s="1012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1012"/>
      <c r="M187" s="1012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13"/>
      <c r="M188" s="1013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1003" t="s">
        <v>14</v>
      </c>
      <c r="M189" s="1003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14">
        <v>0</v>
      </c>
      <c r="M190" s="1014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64" t="s">
        <v>158</v>
      </c>
      <c r="M191" s="1064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65" t="s">
        <v>162</v>
      </c>
      <c r="M192" s="1065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20"/>
      <c r="M193" s="1020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21"/>
      <c r="M194" s="1021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1002"/>
      <c r="M195" s="1002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1003" t="s">
        <v>14</v>
      </c>
      <c r="M196" s="1003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1004">
        <f>PS_consult.jun_EUR</f>
        <v>100.303</v>
      </c>
      <c r="M197" s="1004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61">
        <f>PS_consult.sen_EUR</f>
        <v>122.28599999999999</v>
      </c>
      <c r="M198" s="1061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18">
        <f>PS_cloudarch.jun_EUR</f>
        <v>113.65299999999999</v>
      </c>
      <c r="M199" s="1018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61">
        <f>PS_cloudarch.sen_EUR</f>
        <v>122.28599999999999</v>
      </c>
      <c r="M200" s="1061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18">
        <f>PS_pm.jun_EUR</f>
        <v>101.371</v>
      </c>
      <c r="M201" s="1018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19">
        <f>PS_pm.sen_EUR</f>
        <v>122.28599999999999</v>
      </c>
      <c r="M202" s="1019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20"/>
      <c r="M203" s="1020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21"/>
      <c r="M204" s="1021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1002"/>
      <c r="M205" s="1002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1003" t="s">
        <v>179</v>
      </c>
      <c r="M206" s="1003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14" t="s">
        <v>162</v>
      </c>
      <c r="M207" s="1014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15" t="s">
        <v>162</v>
      </c>
      <c r="M208" s="1015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16" t="s">
        <v>162</v>
      </c>
      <c r="M209" s="1016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17" t="s">
        <v>162</v>
      </c>
      <c r="M210" s="1017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1008" t="s">
        <v>191</v>
      </c>
      <c r="C217" s="1008"/>
      <c r="D217" s="1008"/>
      <c r="E217" s="1008"/>
      <c r="F217" s="1008"/>
      <c r="G217" s="1008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1008"/>
      <c r="C218" s="1008"/>
      <c r="D218" s="1008"/>
      <c r="E218" s="1008"/>
      <c r="F218" s="1008"/>
      <c r="G218" s="1008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1008"/>
      <c r="C219" s="1008"/>
      <c r="D219" s="1008"/>
      <c r="E219" s="1008"/>
      <c r="F219" s="1008"/>
      <c r="G219" s="1008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1009" t="s">
        <v>6</v>
      </c>
      <c r="C220" s="1009"/>
      <c r="D220" s="1009"/>
      <c r="E220" s="1009"/>
      <c r="F220" s="1009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1010" t="str">
        <f>SUM(E67)&amp;" GB NVME-Disk"</f>
        <v>0 GB NVME-Disk</v>
      </c>
      <c r="G227" s="1010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397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H103">
    <cfRule type="cellIs" dxfId="57" priority="3" operator="greaterThan">
      <formula>0</formula>
    </cfRule>
  </conditionalFormatting>
  <conditionalFormatting sqref="H112">
    <cfRule type="cellIs" dxfId="56" priority="1" operator="greaterThan">
      <formula>0</formula>
    </cfRule>
  </conditionalFormatting>
  <conditionalFormatting sqref="H130:H132">
    <cfRule type="cellIs" dxfId="55" priority="66" operator="greaterThan">
      <formula>0</formula>
    </cfRule>
  </conditionalFormatting>
  <conditionalFormatting sqref="I25:I37 I43:I66">
    <cfRule type="cellIs" dxfId="54" priority="151" operator="lessThan">
      <formula>#REF!</formula>
    </cfRule>
  </conditionalFormatting>
  <conditionalFormatting sqref="I25:I37">
    <cfRule type="cellIs" dxfId="53" priority="20" operator="greaterThan">
      <formula>0</formula>
    </cfRule>
  </conditionalFormatting>
  <conditionalFormatting sqref="I43:I66">
    <cfRule type="cellIs" dxfId="52" priority="12" operator="greaterThan">
      <formula>0</formula>
    </cfRule>
  </conditionalFormatting>
  <conditionalFormatting sqref="I72:I75">
    <cfRule type="cellIs" dxfId="51" priority="32" operator="lessThan">
      <formula>$J72</formula>
    </cfRule>
  </conditionalFormatting>
  <conditionalFormatting sqref="I89:I90">
    <cfRule type="cellIs" dxfId="50" priority="71" operator="greaterThan">
      <formula>0</formula>
    </cfRule>
  </conditionalFormatting>
  <conditionalFormatting sqref="I72:J75">
    <cfRule type="cellIs" dxfId="49" priority="73" operator="greaterThan">
      <formula>0</formula>
    </cfRule>
  </conditionalFormatting>
  <conditionalFormatting sqref="I81:J83">
    <cfRule type="cellIs" dxfId="48" priority="42" operator="greaterThan">
      <formula>0</formula>
    </cfRule>
    <cfRule type="cellIs" dxfId="47" priority="44" operator="lessThan">
      <formula>$J81</formula>
    </cfRule>
  </conditionalFormatting>
  <conditionalFormatting sqref="J131:J132">
    <cfRule type="cellIs" dxfId="46" priority="65" operator="greaterThan">
      <formula>0</formula>
    </cfRule>
  </conditionalFormatting>
  <conditionalFormatting sqref="K25:K110">
    <cfRule type="cellIs" dxfId="45" priority="5" operator="greaterThan">
      <formula>0</formula>
    </cfRule>
  </conditionalFormatting>
  <conditionalFormatting sqref="L69 L70:M70">
    <cfRule type="cellIs" dxfId="44" priority="74" operator="greaterThan">
      <formula>0</formula>
    </cfRule>
  </conditionalFormatting>
  <conditionalFormatting sqref="L72:M72 L74:M74">
    <cfRule type="cellIs" dxfId="43" priority="45" operator="greaterThan">
      <formula>0</formula>
    </cfRule>
  </conditionalFormatting>
  <conditionalFormatting sqref="L72:M75">
    <cfRule type="cellIs" dxfId="42" priority="22" operator="greaterThan">
      <formula>0</formula>
    </cfRule>
  </conditionalFormatting>
  <conditionalFormatting sqref="L81:M83">
    <cfRule type="cellIs" dxfId="41" priority="6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31"/>
      <c r="C4" s="1031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424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258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425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33" t="str">
        <f>"1 SEK = "&amp;NOK&amp;" NOK"</f>
        <v>1 SEK = 1 NOK</v>
      </c>
      <c r="E11" s="1033"/>
      <c r="F11" s="1033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1005" t="s">
        <v>4</v>
      </c>
      <c r="C15" s="1005"/>
      <c r="D15" s="1005"/>
      <c r="E15" s="1005"/>
      <c r="F15" s="1005"/>
      <c r="G15" s="1005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1005"/>
      <c r="C16" s="1005"/>
      <c r="D16" s="1005"/>
      <c r="E16" s="1005"/>
      <c r="F16" s="1005"/>
      <c r="G16" s="1005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1005"/>
      <c r="C17" s="1005"/>
      <c r="D17" s="1005"/>
      <c r="E17" s="1005"/>
      <c r="F17" s="1005"/>
      <c r="G17" s="1005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260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32" t="s">
        <v>261</v>
      </c>
      <c r="C19" s="1032"/>
      <c r="D19" s="1032"/>
      <c r="E19" s="1032"/>
      <c r="F19" s="1032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388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262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263</v>
      </c>
      <c r="H24" s="193" t="s">
        <v>264</v>
      </c>
      <c r="I24" s="194" t="s">
        <v>265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385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386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263</v>
      </c>
      <c r="H42" s="193" t="s">
        <v>264</v>
      </c>
      <c r="I42" s="194" t="s">
        <v>265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268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263</v>
      </c>
      <c r="H71" s="193" t="s">
        <v>264</v>
      </c>
      <c r="I71" s="194" t="s">
        <v>265</v>
      </c>
      <c r="J71" s="194" t="s">
        <v>266</v>
      </c>
      <c r="K71" s="195"/>
      <c r="L71" s="193" t="s">
        <v>215</v>
      </c>
      <c r="M71" s="193" t="s">
        <v>267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269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263</v>
      </c>
      <c r="H80" s="193" t="s">
        <v>264</v>
      </c>
      <c r="I80" s="194" t="s">
        <v>265</v>
      </c>
      <c r="J80" s="194" t="s">
        <v>266</v>
      </c>
      <c r="K80" s="195"/>
      <c r="L80" s="193" t="s">
        <v>215</v>
      </c>
      <c r="M80" s="193" t="s">
        <v>267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270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271</v>
      </c>
      <c r="D88" s="24"/>
      <c r="E88" s="132" t="s">
        <v>263</v>
      </c>
      <c r="F88" s="1024" t="s">
        <v>272</v>
      </c>
      <c r="G88" s="1024"/>
      <c r="H88" s="265"/>
      <c r="I88" s="266" t="s">
        <v>273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84">
        <f>VOLUME_large_SEK</f>
        <v>1.2</v>
      </c>
      <c r="G89" s="1084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82">
        <f>VOLUME_fast_SEK</f>
        <v>3.6</v>
      </c>
      <c r="G90" s="1082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1005" t="s">
        <v>72</v>
      </c>
      <c r="C95" s="1005"/>
      <c r="D95" s="1005"/>
      <c r="E95" s="1005"/>
      <c r="F95" s="1005"/>
      <c r="G95" s="1005"/>
      <c r="H95" s="177"/>
      <c r="J95" s="178"/>
      <c r="K95" s="178"/>
      <c r="M95" s="179"/>
      <c r="O95" s="168"/>
    </row>
    <row r="96" spans="2:23" s="169" customFormat="1" ht="25.5" customHeight="1">
      <c r="B96" s="1005"/>
      <c r="C96" s="1005"/>
      <c r="D96" s="1005"/>
      <c r="E96" s="1005"/>
      <c r="F96" s="1005"/>
      <c r="G96" s="1005"/>
      <c r="H96" s="177"/>
      <c r="J96" s="178"/>
      <c r="K96" s="178"/>
      <c r="M96" s="179"/>
      <c r="O96" s="168"/>
    </row>
    <row r="97" spans="2:23" s="169" customFormat="1" ht="25.5" customHeight="1">
      <c r="B97" s="1005"/>
      <c r="C97" s="1005"/>
      <c r="D97" s="1005"/>
      <c r="E97" s="1005"/>
      <c r="F97" s="1005"/>
      <c r="G97" s="1005"/>
      <c r="H97" s="177"/>
      <c r="J97" s="178"/>
      <c r="K97" s="178"/>
      <c r="M97" s="179"/>
      <c r="O97" s="168"/>
    </row>
    <row r="98" spans="2:23" s="169" customFormat="1" ht="25.5" customHeight="1">
      <c r="B98" s="1080" t="s">
        <v>274</v>
      </c>
      <c r="C98" s="1080"/>
      <c r="D98" s="1080"/>
      <c r="E98" s="1080"/>
      <c r="F98" s="1080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32" t="s">
        <v>275</v>
      </c>
      <c r="C99" s="1032"/>
      <c r="D99" s="1032"/>
      <c r="E99" s="1032"/>
      <c r="F99" s="1032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276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277</v>
      </c>
      <c r="D102" s="1024" t="s">
        <v>278</v>
      </c>
      <c r="E102" s="1024"/>
      <c r="F102" s="1024"/>
      <c r="G102" s="1024"/>
      <c r="H102" s="1024"/>
      <c r="I102" s="1024"/>
      <c r="J102" s="1024"/>
      <c r="K102" s="1024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83">
        <f>S3_storage.50_SEK</f>
        <v>350</v>
      </c>
      <c r="E103" s="1083"/>
      <c r="F103" s="1083"/>
      <c r="G103" s="1083"/>
      <c r="H103" s="1083"/>
      <c r="I103" s="1083"/>
      <c r="J103" s="1083"/>
      <c r="K103" s="1083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78">
        <f>S3_storage.100_SEK</f>
        <v>270</v>
      </c>
      <c r="E104" s="1078"/>
      <c r="F104" s="1078"/>
      <c r="G104" s="1078"/>
      <c r="H104" s="1078"/>
      <c r="I104" s="1078"/>
      <c r="J104" s="1078"/>
      <c r="K104" s="1078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81">
        <f>S3_storage.500_SEK</f>
        <v>200</v>
      </c>
      <c r="E105" s="1081"/>
      <c r="F105" s="1081"/>
      <c r="G105" s="1081"/>
      <c r="H105" s="1081"/>
      <c r="I105" s="1081"/>
      <c r="J105" s="1081"/>
      <c r="K105" s="1081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78">
        <f>S3_storage.1000_SEK</f>
        <v>185</v>
      </c>
      <c r="E106" s="1078"/>
      <c r="F106" s="1078"/>
      <c r="G106" s="1078"/>
      <c r="H106" s="1078"/>
      <c r="I106" s="1078"/>
      <c r="J106" s="1078"/>
      <c r="K106" s="1078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9" t="str">
        <f>S3_storage.quote_SEK</f>
        <v>Be om offert</v>
      </c>
      <c r="E107" s="1079"/>
      <c r="F107" s="1079"/>
      <c r="G107" s="1079"/>
      <c r="H107" s="1079"/>
      <c r="I107" s="1079"/>
      <c r="J107" s="1079"/>
      <c r="K107" s="1079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278</v>
      </c>
      <c r="G110" s="265"/>
      <c r="H110" s="266" t="s">
        <v>277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1005" t="s">
        <v>86</v>
      </c>
      <c r="C116" s="1005"/>
      <c r="D116" s="1005"/>
      <c r="E116" s="1005"/>
      <c r="F116" s="1005"/>
      <c r="G116" s="1005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1005"/>
      <c r="C117" s="1005"/>
      <c r="D117" s="1005"/>
      <c r="E117" s="1005"/>
      <c r="F117" s="1005"/>
      <c r="G117" s="1005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1005"/>
      <c r="C118" s="1005"/>
      <c r="D118" s="1005"/>
      <c r="E118" s="1005"/>
      <c r="F118" s="1005"/>
      <c r="G118" s="1005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80" t="s">
        <v>279</v>
      </c>
      <c r="C119" s="1080"/>
      <c r="D119" s="1080"/>
      <c r="E119" s="1080"/>
      <c r="F119" s="1080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32" t="s">
        <v>280</v>
      </c>
      <c r="C120" s="1032"/>
      <c r="D120" s="1032"/>
      <c r="E120" s="1032"/>
      <c r="F120" s="1032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276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24" t="s">
        <v>281</v>
      </c>
      <c r="D123" s="1024"/>
      <c r="E123" s="131" t="s">
        <v>263</v>
      </c>
      <c r="F123" s="1024" t="s">
        <v>272</v>
      </c>
      <c r="G123" s="1024"/>
      <c r="H123" s="266" t="s">
        <v>90</v>
      </c>
      <c r="I123" s="265"/>
      <c r="J123" s="1038" t="s">
        <v>282</v>
      </c>
      <c r="K123" s="1038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72">
        <f>BAAS_on.demand_SEK</f>
        <v>2.4500000000000002</v>
      </c>
      <c r="G124" s="1073"/>
      <c r="H124" s="307"/>
      <c r="I124" s="472" t="s">
        <v>69</v>
      </c>
      <c r="J124" s="1042" t="s">
        <v>94</v>
      </c>
      <c r="K124" s="1042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74">
        <f>BAAS_small_SEK</f>
        <v>1.75</v>
      </c>
      <c r="G125" s="1075"/>
      <c r="H125" s="309"/>
      <c r="I125" s="473" t="s">
        <v>69</v>
      </c>
      <c r="J125" s="1046">
        <v>0.75</v>
      </c>
      <c r="K125" s="1047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76">
        <f>BAAS_large_SEK</f>
        <v>0.92</v>
      </c>
      <c r="G126" s="1077"/>
      <c r="H126" s="298"/>
      <c r="I126" s="474" t="s">
        <v>69</v>
      </c>
      <c r="J126" s="1051">
        <v>0.75</v>
      </c>
      <c r="K126" s="1052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283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284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285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286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1005" t="s">
        <v>287</v>
      </c>
      <c r="C137" s="1005"/>
      <c r="D137" s="1005"/>
      <c r="E137" s="1005"/>
      <c r="F137" s="1005"/>
      <c r="G137" s="1005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1005"/>
      <c r="C138" s="1005"/>
      <c r="D138" s="1005"/>
      <c r="E138" s="1005"/>
      <c r="F138" s="1005"/>
      <c r="G138" s="1005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1005"/>
      <c r="C139" s="1005"/>
      <c r="D139" s="1005"/>
      <c r="E139" s="1005"/>
      <c r="F139" s="1005"/>
      <c r="G139" s="1005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32" t="s">
        <v>280</v>
      </c>
      <c r="C140" s="1032"/>
      <c r="D140" s="1032"/>
      <c r="E140" s="1032"/>
      <c r="F140" s="1032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1007"/>
      <c r="C141" s="1007"/>
      <c r="D141" s="1007"/>
      <c r="E141" s="1007"/>
      <c r="F141" s="1007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288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271</v>
      </c>
      <c r="F144" s="265"/>
      <c r="G144" s="265"/>
      <c r="H144" s="265"/>
      <c r="I144" s="265"/>
      <c r="J144" s="265"/>
      <c r="K144" s="265"/>
      <c r="L144" s="314" t="s">
        <v>289</v>
      </c>
      <c r="M144" s="535" t="s">
        <v>264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236</v>
      </c>
      <c r="F145" s="316"/>
      <c r="G145" s="316"/>
      <c r="H145" s="316"/>
      <c r="I145" s="316"/>
      <c r="J145" s="316"/>
      <c r="K145" s="316"/>
      <c r="L145" s="318" t="s">
        <v>290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236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291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291</v>
      </c>
      <c r="D148" s="130"/>
      <c r="E148" s="41" t="s">
        <v>292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238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293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271</v>
      </c>
      <c r="F154" s="265"/>
      <c r="G154" s="265"/>
      <c r="H154" s="265"/>
      <c r="I154" s="265"/>
      <c r="J154" s="265"/>
      <c r="K154" s="265"/>
      <c r="L154" s="314" t="s">
        <v>289</v>
      </c>
      <c r="M154" s="535" t="s">
        <v>264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175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175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1229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294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239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271</v>
      </c>
      <c r="F166" s="265"/>
      <c r="G166" s="265"/>
      <c r="H166" s="265"/>
      <c r="I166" s="265"/>
      <c r="J166" s="265"/>
      <c r="K166" s="265"/>
      <c r="L166" s="535"/>
      <c r="M166" s="535" t="s">
        <v>264</v>
      </c>
      <c r="O166" s="205"/>
      <c r="Q166" s="191"/>
      <c r="R166" s="284"/>
      <c r="S166" s="189"/>
    </row>
    <row r="167" spans="2:19" ht="25.5" customHeight="1">
      <c r="B167" s="134" t="s">
        <v>399</v>
      </c>
      <c r="C167" s="129"/>
      <c r="D167" s="30"/>
      <c r="E167" s="30" t="s">
        <v>401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400</v>
      </c>
      <c r="C168" s="130"/>
      <c r="D168" s="38"/>
      <c r="E168" s="38" t="s">
        <v>402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240</v>
      </c>
      <c r="F169" s="316"/>
      <c r="G169" s="316"/>
      <c r="H169" s="316"/>
      <c r="I169" s="316"/>
      <c r="J169" s="316"/>
      <c r="K169" s="316"/>
      <c r="L169" s="317"/>
      <c r="M169" s="555" t="s">
        <v>304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304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304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304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1005" t="s">
        <v>295</v>
      </c>
      <c r="C176" s="1005"/>
      <c r="D176" s="1005"/>
      <c r="E176" s="1005"/>
      <c r="F176" s="1005"/>
      <c r="G176" s="1005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1005"/>
      <c r="C177" s="1005"/>
      <c r="D177" s="1005"/>
      <c r="E177" s="1005"/>
      <c r="F177" s="1005"/>
      <c r="G177" s="1005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1005"/>
      <c r="C178" s="1005"/>
      <c r="D178" s="1005"/>
      <c r="E178" s="1005"/>
      <c r="F178" s="1005"/>
      <c r="G178" s="1005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32" t="s">
        <v>280</v>
      </c>
      <c r="C179" s="1032"/>
      <c r="D179" s="1032"/>
      <c r="E179" s="1032"/>
      <c r="F179" s="1032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1007"/>
      <c r="C180" s="1007"/>
      <c r="D180" s="1007"/>
      <c r="E180" s="1007"/>
      <c r="F180" s="1007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271</v>
      </c>
      <c r="E183" s="132"/>
      <c r="F183" s="265"/>
      <c r="G183" s="535"/>
      <c r="H183" s="535"/>
      <c r="I183" s="535"/>
      <c r="J183" s="535"/>
      <c r="K183" s="314" t="s">
        <v>296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242</v>
      </c>
      <c r="L185" s="324"/>
      <c r="M185" s="441" t="s">
        <v>243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297</v>
      </c>
      <c r="L186" s="318"/>
      <c r="M186" s="442" t="s">
        <v>298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246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299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271</v>
      </c>
      <c r="E190" s="132"/>
      <c r="F190" s="265"/>
      <c r="G190" s="535"/>
      <c r="H190" s="535"/>
      <c r="I190" s="535"/>
      <c r="J190" s="535"/>
      <c r="K190" s="314" t="s">
        <v>296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297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297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297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297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297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297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300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271</v>
      </c>
      <c r="E200" s="132"/>
      <c r="F200" s="265"/>
      <c r="G200" s="314" t="s">
        <v>301</v>
      </c>
      <c r="H200" s="314"/>
      <c r="I200" s="314"/>
      <c r="J200" s="314"/>
      <c r="K200" s="314" t="s">
        <v>296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302</v>
      </c>
      <c r="E201" s="40"/>
      <c r="F201" s="316"/>
      <c r="G201" s="318" t="s">
        <v>251</v>
      </c>
      <c r="H201" s="318"/>
      <c r="I201" s="318"/>
      <c r="J201" s="318"/>
      <c r="K201" s="318" t="s">
        <v>303</v>
      </c>
      <c r="L201" s="318"/>
      <c r="M201" s="442" t="s">
        <v>304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305</v>
      </c>
      <c r="E202" s="31"/>
      <c r="F202" s="319"/>
      <c r="G202" s="324" t="s">
        <v>251</v>
      </c>
      <c r="H202" s="324"/>
      <c r="I202" s="324"/>
      <c r="J202" s="324"/>
      <c r="K202" s="324" t="s">
        <v>303</v>
      </c>
      <c r="L202" s="324"/>
      <c r="M202" s="441" t="s">
        <v>304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306</v>
      </c>
      <c r="E203" s="40"/>
      <c r="F203" s="316"/>
      <c r="G203" s="318" t="s">
        <v>253</v>
      </c>
      <c r="H203" s="318"/>
      <c r="I203" s="318"/>
      <c r="J203" s="318"/>
      <c r="K203" s="318" t="s">
        <v>303</v>
      </c>
      <c r="L203" s="318"/>
      <c r="M203" s="442" t="s">
        <v>304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307</v>
      </c>
      <c r="E204" s="31"/>
      <c r="F204" s="319"/>
      <c r="G204" s="324" t="s">
        <v>253</v>
      </c>
      <c r="H204" s="324"/>
      <c r="I204" s="324"/>
      <c r="J204" s="324"/>
      <c r="K204" s="324" t="s">
        <v>303</v>
      </c>
      <c r="L204" s="324"/>
      <c r="M204" s="441" t="s">
        <v>304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1008" t="s">
        <v>308</v>
      </c>
      <c r="C211" s="1008"/>
      <c r="D211" s="1008"/>
      <c r="E211" s="1008"/>
      <c r="F211" s="1008"/>
      <c r="G211" s="1008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1008"/>
      <c r="C212" s="1008"/>
      <c r="D212" s="1008"/>
      <c r="E212" s="1008"/>
      <c r="F212" s="1008"/>
      <c r="G212" s="1008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1008"/>
      <c r="C213" s="1008"/>
      <c r="D213" s="1008"/>
      <c r="E213" s="1008"/>
      <c r="F213" s="1008"/>
      <c r="G213" s="1008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70" t="s">
        <v>309</v>
      </c>
      <c r="C214" s="1070"/>
      <c r="D214" s="1070"/>
      <c r="E214" s="1070"/>
      <c r="F214" s="1070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310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426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311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308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71" t="str">
        <f>SUM(E67)&amp;" GB NVME-Disk"</f>
        <v>0 GB NVME-Disk</v>
      </c>
      <c r="G221" s="1071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H111">
    <cfRule type="cellIs" dxfId="40" priority="40" operator="greaterThan">
      <formula>0</formula>
    </cfRule>
  </conditionalFormatting>
  <conditionalFormatting sqref="H124:H126">
    <cfRule type="cellIs" dxfId="39" priority="36" operator="greaterThan">
      <formula>0</formula>
    </cfRule>
  </conditionalFormatting>
  <conditionalFormatting sqref="I25:I37 I43:I66">
    <cfRule type="cellIs" dxfId="38" priority="149" operator="lessThan">
      <formula>#REF!</formula>
    </cfRule>
  </conditionalFormatting>
  <conditionalFormatting sqref="I25:I37">
    <cfRule type="cellIs" dxfId="37" priority="14" operator="greaterThan">
      <formula>0</formula>
    </cfRule>
  </conditionalFormatting>
  <conditionalFormatting sqref="I43:I66">
    <cfRule type="cellIs" dxfId="36" priority="6" operator="greaterThan">
      <formula>0</formula>
    </cfRule>
  </conditionalFormatting>
  <conditionalFormatting sqref="I89:I90">
    <cfRule type="cellIs" dxfId="35" priority="41" operator="greaterThan">
      <formula>0</formula>
    </cfRule>
  </conditionalFormatting>
  <conditionalFormatting sqref="I72:J75">
    <cfRule type="cellIs" dxfId="34" priority="34" operator="lessThan">
      <formula>$J72</formula>
    </cfRule>
    <cfRule type="cellIs" dxfId="33" priority="43" operator="greaterThan">
      <formula>0</formula>
    </cfRule>
  </conditionalFormatting>
  <conditionalFormatting sqref="I81:J83">
    <cfRule type="cellIs" dxfId="32" priority="28" operator="greaterThan">
      <formula>0</formula>
    </cfRule>
    <cfRule type="cellIs" dxfId="31" priority="30" operator="lessThan">
      <formula>$J81</formula>
    </cfRule>
  </conditionalFormatting>
  <conditionalFormatting sqref="J125:J126">
    <cfRule type="cellIs" dxfId="30" priority="35" operator="greaterThan">
      <formula>0</formula>
    </cfRule>
  </conditionalFormatting>
  <conditionalFormatting sqref="K25:K66">
    <cfRule type="cellIs" dxfId="29" priority="2" operator="greaterThan">
      <formula>0</formula>
    </cfRule>
  </conditionalFormatting>
  <conditionalFormatting sqref="K68 L69:M70">
    <cfRule type="cellIs" dxfId="28" priority="44" operator="greaterThan">
      <formula>0</formula>
    </cfRule>
  </conditionalFormatting>
  <conditionalFormatting sqref="L72:M72 L74:M74">
    <cfRule type="cellIs" dxfId="27" priority="31" operator="greaterThan">
      <formula>0</formula>
    </cfRule>
  </conditionalFormatting>
  <conditionalFormatting sqref="L72:M75">
    <cfRule type="cellIs" dxfId="26" priority="16" operator="greaterThan">
      <formula>0</formula>
    </cfRule>
  </conditionalFormatting>
  <conditionalFormatting sqref="L81:M83">
    <cfRule type="cellIs" dxfId="25" priority="27" operator="greaterThan">
      <formula>0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31"/>
      <c r="C4" s="1031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312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1005" t="s">
        <v>4</v>
      </c>
      <c r="C15" s="1005"/>
      <c r="D15" s="1005"/>
      <c r="E15" s="1005"/>
      <c r="F15" s="1005"/>
      <c r="G15" s="1005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1005"/>
      <c r="C16" s="1005"/>
      <c r="D16" s="1005"/>
      <c r="E16" s="1005"/>
      <c r="F16" s="1005"/>
      <c r="G16" s="1005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1005"/>
      <c r="C17" s="1005"/>
      <c r="D17" s="1005"/>
      <c r="E17" s="1005"/>
      <c r="F17" s="1005"/>
      <c r="G17" s="1005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1007" t="s">
        <v>205</v>
      </c>
      <c r="C19" s="1007"/>
      <c r="D19" s="1007"/>
      <c r="E19" s="1007"/>
      <c r="F19" s="1007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313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314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314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314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314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314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314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314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314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314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314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314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313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314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314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314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314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314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314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314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314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314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314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314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314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314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314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314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314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314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314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314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315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313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316</v>
      </c>
      <c r="C65" s="39" t="s">
        <v>317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318</v>
      </c>
      <c r="C66" s="41" t="s">
        <v>317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319</v>
      </c>
      <c r="C67" s="39" t="s">
        <v>317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320</v>
      </c>
      <c r="C68" s="41" t="s">
        <v>317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321</v>
      </c>
      <c r="C69" s="39" t="s">
        <v>317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322</v>
      </c>
      <c r="C70" s="41" t="s">
        <v>317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323</v>
      </c>
      <c r="C71" s="39" t="s">
        <v>317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324</v>
      </c>
      <c r="C72" s="41" t="s">
        <v>317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325</v>
      </c>
      <c r="C73" s="39" t="s">
        <v>317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326</v>
      </c>
      <c r="C74" s="41" t="s">
        <v>317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327</v>
      </c>
      <c r="C75" s="39" t="s">
        <v>317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328</v>
      </c>
      <c r="C76" s="41" t="s">
        <v>317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329</v>
      </c>
      <c r="C77" s="39" t="s">
        <v>317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330</v>
      </c>
      <c r="C78" s="41" t="s">
        <v>317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331</v>
      </c>
      <c r="C79" s="39" t="s">
        <v>317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332</v>
      </c>
      <c r="C80" s="41" t="s">
        <v>317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333</v>
      </c>
      <c r="C81" s="39" t="s">
        <v>317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334</v>
      </c>
      <c r="C82" s="41" t="s">
        <v>317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335</v>
      </c>
      <c r="C83" s="39" t="s">
        <v>317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336</v>
      </c>
      <c r="C84" s="41" t="s">
        <v>317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337</v>
      </c>
      <c r="C85" s="39" t="s">
        <v>317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338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24" t="s">
        <v>221</v>
      </c>
      <c r="G98" s="1024"/>
      <c r="H98" s="1038"/>
      <c r="I98" s="1038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84">
        <f>VOLUME_large_SEK</f>
        <v>1.2</v>
      </c>
      <c r="G99" s="1084"/>
      <c r="H99" s="1087"/>
      <c r="I99" s="1087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82">
        <f>VOLUME_fast_SEK</f>
        <v>3.6</v>
      </c>
      <c r="G100" s="1082"/>
      <c r="H100" s="1089"/>
      <c r="I100" s="1089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1005" t="s">
        <v>339</v>
      </c>
      <c r="C105" s="1005"/>
      <c r="D105" s="1005"/>
      <c r="E105" s="1005"/>
      <c r="F105" s="1005"/>
      <c r="G105" s="1005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1005"/>
      <c r="C106" s="1005"/>
      <c r="D106" s="1005"/>
      <c r="E106" s="1005"/>
      <c r="F106" s="1005"/>
      <c r="G106" s="1005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1005"/>
      <c r="C107" s="1005"/>
      <c r="D107" s="1005"/>
      <c r="E107" s="1005"/>
      <c r="F107" s="1005"/>
      <c r="G107" s="1005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54" t="s">
        <v>223</v>
      </c>
      <c r="C108" s="1054"/>
      <c r="D108" s="1054"/>
      <c r="E108" s="1054"/>
      <c r="F108" s="1054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32" t="s">
        <v>340</v>
      </c>
      <c r="C109" s="1032"/>
      <c r="D109" s="1032"/>
      <c r="E109" s="1032"/>
      <c r="F109" s="1032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1024" t="s">
        <v>341</v>
      </c>
      <c r="E112" s="1024"/>
      <c r="F112" s="1024"/>
      <c r="G112" s="1024"/>
      <c r="H112" s="1024"/>
      <c r="I112" s="1024"/>
      <c r="J112" s="1024"/>
      <c r="K112" s="1024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342</v>
      </c>
      <c r="D113" s="1090">
        <f>S3_storage.50_SUNET</f>
        <v>0.35</v>
      </c>
      <c r="E113" s="1090"/>
      <c r="F113" s="1083"/>
      <c r="G113" s="1083"/>
      <c r="H113" s="1083"/>
      <c r="I113" s="1083"/>
      <c r="J113" s="1083"/>
      <c r="K113" s="1083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343</v>
      </c>
      <c r="D114" s="1088">
        <f>S3_storage.100_SUNET</f>
        <v>0.19</v>
      </c>
      <c r="E114" s="1088"/>
      <c r="F114" s="1078"/>
      <c r="G114" s="1078"/>
      <c r="H114" s="1078"/>
      <c r="I114" s="1078"/>
      <c r="J114" s="1078"/>
      <c r="K114" s="1078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344</v>
      </c>
      <c r="D115" s="1091">
        <f>S3_storage.500_SUNET</f>
        <v>0.1</v>
      </c>
      <c r="E115" s="1091"/>
      <c r="F115" s="1081"/>
      <c r="G115" s="1081"/>
      <c r="H115" s="1081"/>
      <c r="I115" s="1081"/>
      <c r="J115" s="1081"/>
      <c r="K115" s="1081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345</v>
      </c>
      <c r="D116" s="1088">
        <f>S3_storage.1000_SUNET</f>
        <v>0.06</v>
      </c>
      <c r="E116" s="1088"/>
      <c r="F116" s="1078"/>
      <c r="G116" s="1078"/>
      <c r="H116" s="1078"/>
      <c r="I116" s="1078"/>
      <c r="J116" s="1078"/>
      <c r="K116" s="1078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92" t="str">
        <f>S3_storage.quote_SUNET</f>
        <v>Be om offert</v>
      </c>
      <c r="E117" s="1092"/>
      <c r="F117" s="1079"/>
      <c r="G117" s="1079"/>
      <c r="H117" s="1079"/>
      <c r="I117" s="1079"/>
      <c r="J117" s="1079"/>
      <c r="K117" s="1079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24" t="s">
        <v>221</v>
      </c>
      <c r="G120" s="1024"/>
      <c r="H120" s="266" t="s">
        <v>224</v>
      </c>
      <c r="I120" s="265"/>
      <c r="J120" s="265"/>
      <c r="K120" s="24" t="s">
        <v>346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93" cm="1">
        <f t="array" ref="F121">_xlfn.IFS(H121&lt;=299,D113,H121&lt;1000,D114,H121&lt;2000,D115,H121&gt;=2000,D116)</f>
        <v>0.35</v>
      </c>
      <c r="G121" s="1094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85">
        <f>ROUNDUP((H121*1000)*F121,2)</f>
        <v>0</v>
      </c>
      <c r="N121" s="1085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86">
        <f>SUM(M121)</f>
        <v>0</v>
      </c>
      <c r="N122" s="1086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1005" t="s">
        <v>86</v>
      </c>
      <c r="C126" s="1005"/>
      <c r="D126" s="1005"/>
      <c r="E126" s="1005"/>
      <c r="F126" s="1005"/>
      <c r="G126" s="1005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1005"/>
      <c r="C127" s="1005"/>
      <c r="D127" s="1005"/>
      <c r="E127" s="1005"/>
      <c r="F127" s="1005"/>
      <c r="G127" s="1005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1005"/>
      <c r="C128" s="1005"/>
      <c r="D128" s="1005"/>
      <c r="E128" s="1005"/>
      <c r="F128" s="1005"/>
      <c r="G128" s="1005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26" t="s">
        <v>87</v>
      </c>
      <c r="C129" s="1026"/>
      <c r="D129" s="1026"/>
      <c r="E129" s="1026"/>
      <c r="F129" s="1026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1007" t="s">
        <v>226</v>
      </c>
      <c r="C130" s="1007"/>
      <c r="D130" s="1007"/>
      <c r="E130" s="1007"/>
      <c r="F130" s="1007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24" t="s">
        <v>228</v>
      </c>
      <c r="D133" s="1024"/>
      <c r="E133" s="131" t="s">
        <v>210</v>
      </c>
      <c r="F133" s="1024" t="s">
        <v>221</v>
      </c>
      <c r="G133" s="1024"/>
      <c r="H133" s="266" t="s">
        <v>90</v>
      </c>
      <c r="I133" s="265"/>
      <c r="J133" s="1038" t="s">
        <v>229</v>
      </c>
      <c r="K133" s="1038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72">
        <f>BAAS_on.demand_SEK</f>
        <v>2.4500000000000002</v>
      </c>
      <c r="G134" s="1073"/>
      <c r="H134" s="307">
        <v>0</v>
      </c>
      <c r="I134" s="472" t="s">
        <v>69</v>
      </c>
      <c r="J134" s="1042" t="s">
        <v>94</v>
      </c>
      <c r="K134" s="1042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74">
        <f>BAAS_small_SEK</f>
        <v>1.75</v>
      </c>
      <c r="G135" s="1075"/>
      <c r="H135" s="309">
        <v>0</v>
      </c>
      <c r="I135" s="473" t="s">
        <v>69</v>
      </c>
      <c r="J135" s="1046">
        <v>0.75</v>
      </c>
      <c r="K135" s="1047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76">
        <f>BAAS_large_SEK</f>
        <v>0.92</v>
      </c>
      <c r="G136" s="1077"/>
      <c r="H136" s="298">
        <v>0</v>
      </c>
      <c r="I136" s="474" t="s">
        <v>69</v>
      </c>
      <c r="J136" s="1051">
        <v>0.75</v>
      </c>
      <c r="K136" s="1052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1008" t="s">
        <v>255</v>
      </c>
      <c r="C150" s="1008"/>
      <c r="D150" s="1008"/>
      <c r="E150" s="1008"/>
      <c r="F150" s="1008"/>
      <c r="G150" s="1008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1008"/>
      <c r="C151" s="1008"/>
      <c r="D151" s="1008"/>
      <c r="E151" s="1008"/>
      <c r="F151" s="1008"/>
      <c r="G151" s="1008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1008"/>
      <c r="C152" s="1008"/>
      <c r="D152" s="1008"/>
      <c r="E152" s="1008"/>
      <c r="F152" s="1008"/>
      <c r="G152" s="1008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70" t="s">
        <v>226</v>
      </c>
      <c r="C153" s="1070"/>
      <c r="D153" s="1070"/>
      <c r="E153" s="1070"/>
      <c r="F153" s="1070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256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257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255</v>
      </c>
      <c r="N159" s="358"/>
      <c r="O159" s="359"/>
      <c r="P159" s="160"/>
      <c r="Q159" s="313"/>
    </row>
    <row r="160" spans="1:23" ht="25.5" customHeight="1">
      <c r="A160" s="157"/>
      <c r="B160" s="1096" t="s">
        <v>196</v>
      </c>
      <c r="C160" s="1096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97" t="s">
        <v>197</v>
      </c>
      <c r="C161" s="1097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98" t="s">
        <v>199</v>
      </c>
      <c r="C163" s="1098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95">
        <f>SUM(M160:M163)</f>
        <v>0</v>
      </c>
      <c r="K164" s="1095"/>
      <c r="L164" s="1095"/>
      <c r="M164" s="1095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347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348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H121">
    <cfRule type="cellIs" dxfId="24" priority="55" operator="greaterThan">
      <formula>0</formula>
    </cfRule>
  </conditionalFormatting>
  <conditionalFormatting sqref="H134:H136">
    <cfRule type="cellIs" dxfId="23" priority="51" operator="greaterThan">
      <formula>0</formula>
    </cfRule>
  </conditionalFormatting>
  <conditionalFormatting sqref="I41:I59">
    <cfRule type="cellIs" dxfId="22" priority="40" operator="lessThan">
      <formula>$J41</formula>
    </cfRule>
  </conditionalFormatting>
  <conditionalFormatting sqref="I65:I85 I25:I35">
    <cfRule type="cellIs" dxfId="21" priority="54" operator="lessThan">
      <formula>$J25</formula>
    </cfRule>
  </conditionalFormatting>
  <conditionalFormatting sqref="I91:J93">
    <cfRule type="cellIs" dxfId="20" priority="45" operator="lessThan">
      <formula>$J91</formula>
    </cfRule>
  </conditionalFormatting>
  <conditionalFormatting sqref="I25:K35">
    <cfRule type="cellIs" dxfId="19" priority="58" operator="greaterThan">
      <formula>0</formula>
    </cfRule>
  </conditionalFormatting>
  <conditionalFormatting sqref="I41:K59">
    <cfRule type="cellIs" dxfId="18" priority="39" operator="greaterThan">
      <formula>0</formula>
    </cfRule>
  </conditionalFormatting>
  <conditionalFormatting sqref="I65:K85">
    <cfRule type="cellIs" dxfId="17" priority="6" operator="greaterThan">
      <formula>0</formula>
    </cfRule>
  </conditionalFormatting>
  <conditionalFormatting sqref="I91:K93">
    <cfRule type="cellIs" dxfId="16" priority="41" operator="greaterThan">
      <formula>0</formula>
    </cfRule>
  </conditionalFormatting>
  <conditionalFormatting sqref="J99:J136">
    <cfRule type="cellIs" dxfId="15" priority="50" operator="greaterThan">
      <formula>0</formula>
    </cfRule>
  </conditionalFormatting>
  <conditionalFormatting sqref="M25:N35 M39:N39">
    <cfRule type="cellIs" dxfId="14" priority="59" operator="greaterThan">
      <formula>0</formula>
    </cfRule>
  </conditionalFormatting>
  <conditionalFormatting sqref="M41:N85">
    <cfRule type="cellIs" dxfId="13" priority="1" operator="greaterThan">
      <formula>0</formula>
    </cfRule>
  </conditionalFormatting>
  <conditionalFormatting sqref="M91:N93">
    <cfRule type="cellIs" dxfId="12" priority="42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8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93"/>
      <c r="C4" s="993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737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669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974" t="s">
        <v>715</v>
      </c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78" t="s">
        <v>590</v>
      </c>
      <c r="C15" s="978"/>
      <c r="D15" s="978"/>
      <c r="E15" s="978"/>
      <c r="F15" s="978"/>
      <c r="G15" s="978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78"/>
      <c r="C16" s="978"/>
      <c r="D16" s="978"/>
      <c r="E16" s="978"/>
      <c r="F16" s="978"/>
      <c r="G16" s="978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78"/>
      <c r="C17" s="978"/>
      <c r="D17" s="978"/>
      <c r="E17" s="978"/>
      <c r="F17" s="978"/>
      <c r="G17" s="978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670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671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672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720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673</v>
      </c>
      <c r="E25" s="131" t="s">
        <v>602</v>
      </c>
      <c r="F25" s="131" t="s">
        <v>263</v>
      </c>
      <c r="G25" s="131" t="s">
        <v>674</v>
      </c>
      <c r="H25" s="686"/>
      <c r="I25" s="687" t="s">
        <v>361</v>
      </c>
      <c r="J25" s="686"/>
      <c r="K25" s="928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929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929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930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ref="F38" si="6">G38/720</f>
        <v>0.65513888888888883</v>
      </c>
      <c r="G38" s="888">
        <f t="shared" ref="G38" si="7">C38*IAAS_vcpu_EUR+D38*IAAS_ram_EUR+E38*IAAS_nvme_EUR</f>
        <v>471.69999999999993</v>
      </c>
      <c r="H38" s="44"/>
      <c r="I38" s="691"/>
      <c r="J38" s="44"/>
      <c r="K38" s="929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ref="F39" si="9">G39/720</f>
        <v>0.87516666666666654</v>
      </c>
      <c r="G39" s="889">
        <f t="shared" ref="G39" si="10">C39*IAAS_vcpu_EUR+D39*IAAS_ram_EUR+E39*IAAS_nvme_EUR</f>
        <v>630.11999999999989</v>
      </c>
      <c r="H39" s="46"/>
      <c r="I39" s="691"/>
      <c r="J39" s="46"/>
      <c r="K39" s="930">
        <f t="shared" ref="K39" si="11">ROUNDUP(I39*G39,2)</f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49" t="s">
        <v>686</v>
      </c>
      <c r="C44" s="973"/>
      <c r="D44" s="973"/>
      <c r="K44" s="934"/>
      <c r="M44" s="664"/>
    </row>
    <row r="45" spans="2:18" ht="25" customHeight="1">
      <c r="B45" s="628" t="s">
        <v>720</v>
      </c>
      <c r="C45" s="628"/>
      <c r="D45" s="628"/>
      <c r="E45" s="628"/>
      <c r="F45" s="628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673</v>
      </c>
      <c r="E46" s="131" t="s">
        <v>602</v>
      </c>
      <c r="F46" s="131" t="s">
        <v>263</v>
      </c>
      <c r="G46" s="131" t="s">
        <v>674</v>
      </c>
      <c r="H46" s="686"/>
      <c r="I46" s="687" t="s">
        <v>361</v>
      </c>
      <c r="J46" s="686"/>
      <c r="K46" s="928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4" si="12">G47/720</f>
        <v>2.3486111111111107E-2</v>
      </c>
      <c r="G47" s="888">
        <f t="shared" ref="G47:G54" si="13">C47*IAAS_vcpu_EUR+D47*IAAS_ram_EUR+E47*IAAS_ssd_EUR</f>
        <v>16.909999999999997</v>
      </c>
      <c r="H47" s="44"/>
      <c r="I47" s="691"/>
      <c r="J47" s="44"/>
      <c r="K47" s="929">
        <f t="shared" ref="K47:K54" si="14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12"/>
        <v>3.7083333333333329E-2</v>
      </c>
      <c r="G48" s="889">
        <f t="shared" si="13"/>
        <v>26.699999999999996</v>
      </c>
      <c r="H48" s="46"/>
      <c r="I48" s="691"/>
      <c r="J48" s="46"/>
      <c r="K48" s="930">
        <f t="shared" si="14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12"/>
        <v>4.6972222222222214E-2</v>
      </c>
      <c r="G49" s="888">
        <f t="shared" si="13"/>
        <v>33.819999999999993</v>
      </c>
      <c r="H49" s="44"/>
      <c r="I49" s="691"/>
      <c r="J49" s="44"/>
      <c r="K49" s="929">
        <f t="shared" si="14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12"/>
        <v>7.4166666666666659E-2</v>
      </c>
      <c r="G50" s="889">
        <f t="shared" si="13"/>
        <v>53.399999999999991</v>
      </c>
      <c r="H50" s="46"/>
      <c r="I50" s="691"/>
      <c r="J50" s="46"/>
      <c r="K50" s="930">
        <f t="shared" si="14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12"/>
        <v>9.3944444444444428E-2</v>
      </c>
      <c r="G51" s="888">
        <f t="shared" si="13"/>
        <v>67.639999999999986</v>
      </c>
      <c r="H51" s="44"/>
      <c r="I51" s="691"/>
      <c r="J51" s="44"/>
      <c r="K51" s="929">
        <f t="shared" si="14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12"/>
        <v>0.14833333333333332</v>
      </c>
      <c r="G52" s="889">
        <f t="shared" si="13"/>
        <v>106.79999999999998</v>
      </c>
      <c r="H52" s="46"/>
      <c r="I52" s="691"/>
      <c r="J52" s="46"/>
      <c r="K52" s="930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12"/>
        <v>0.18788888888888886</v>
      </c>
      <c r="G53" s="888">
        <f t="shared" si="13"/>
        <v>135.27999999999997</v>
      </c>
      <c r="H53" s="44"/>
      <c r="I53" s="691"/>
      <c r="J53" s="44"/>
      <c r="K53" s="929">
        <f t="shared" si="14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12"/>
        <v>0.29666666666666663</v>
      </c>
      <c r="G54" s="889">
        <f t="shared" si="13"/>
        <v>213.59999999999997</v>
      </c>
      <c r="H54" s="46"/>
      <c r="I54" s="691"/>
      <c r="J54" s="46"/>
      <c r="K54" s="930">
        <f t="shared" si="14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ref="F55:F56" si="15">G55/720</f>
        <v>0.37577777777777771</v>
      </c>
      <c r="G55" s="888">
        <f t="shared" ref="G55:G56" si="16">C55*IAAS_vcpu_EUR+D55*IAAS_ram_EUR+E55*IAAS_ssd_EUR</f>
        <v>270.55999999999995</v>
      </c>
      <c r="H55" s="44"/>
      <c r="I55" s="691"/>
      <c r="J55" s="44"/>
      <c r="K55" s="929">
        <f t="shared" ref="K55:K56" si="17">ROUNDUP(I55*G55,2)</f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15"/>
        <v>0.59333333333333327</v>
      </c>
      <c r="G56" s="889">
        <f t="shared" si="16"/>
        <v>427.19999999999993</v>
      </c>
      <c r="H56" s="46"/>
      <c r="I56" s="691"/>
      <c r="J56" s="46"/>
      <c r="K56" s="930">
        <f t="shared" si="17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96" t="s">
        <v>487</v>
      </c>
      <c r="C60" s="996"/>
      <c r="D60" s="996"/>
      <c r="E60" s="996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8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8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8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8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96" t="s">
        <v>487</v>
      </c>
      <c r="C70" s="996"/>
      <c r="D70" s="996"/>
      <c r="E70" s="996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9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9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9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687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688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263</v>
      </c>
      <c r="G80" s="131" t="s">
        <v>674</v>
      </c>
      <c r="H80" s="24"/>
      <c r="I80" s="728" t="s">
        <v>716</v>
      </c>
      <c r="J80" s="24"/>
      <c r="K80" s="939" t="s">
        <v>483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78" t="s">
        <v>591</v>
      </c>
      <c r="C87" s="978"/>
      <c r="D87" s="978"/>
      <c r="E87" s="978"/>
      <c r="F87" s="978"/>
      <c r="G87" s="978"/>
      <c r="H87" s="672"/>
      <c r="J87" s="674"/>
      <c r="K87" s="924"/>
      <c r="M87" s="664"/>
    </row>
    <row r="88" spans="2:20" s="4" customFormat="1" ht="25" customHeight="1">
      <c r="B88" s="978"/>
      <c r="C88" s="978"/>
      <c r="D88" s="978"/>
      <c r="E88" s="978"/>
      <c r="F88" s="978"/>
      <c r="G88" s="978"/>
      <c r="H88" s="672"/>
      <c r="J88" s="674"/>
      <c r="K88" s="924"/>
      <c r="M88" s="664"/>
    </row>
    <row r="89" spans="2:20" s="4" customFormat="1" ht="25" customHeight="1">
      <c r="B89" s="978"/>
      <c r="C89" s="978"/>
      <c r="D89" s="978"/>
      <c r="E89" s="978"/>
      <c r="F89" s="978"/>
      <c r="G89" s="978"/>
      <c r="H89" s="672"/>
      <c r="J89" s="674"/>
      <c r="K89" s="924"/>
      <c r="M89" s="664"/>
    </row>
    <row r="90" spans="2:20" s="4" customFormat="1" ht="25" customHeight="1">
      <c r="B90" s="549" t="s">
        <v>722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671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672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675</v>
      </c>
      <c r="H94" s="24"/>
      <c r="I94" s="728" t="s">
        <v>717</v>
      </c>
      <c r="J94" s="131"/>
      <c r="K94" s="939" t="s">
        <v>483</v>
      </c>
      <c r="L94" s="680"/>
      <c r="M94" s="664"/>
      <c r="N94" s="675"/>
    </row>
    <row r="95" spans="2:20" s="752" customFormat="1" ht="25" customHeight="1">
      <c r="B95" s="445" t="s">
        <v>484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92" t="s">
        <v>225</v>
      </c>
      <c r="E100" s="992"/>
      <c r="F100" s="992"/>
      <c r="G100" s="992"/>
      <c r="H100" s="992"/>
      <c r="I100" s="992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91">
        <f>S3_archive.50_SEK</f>
        <v>350</v>
      </c>
      <c r="E102" s="991"/>
      <c r="F102" s="991"/>
      <c r="G102" s="991"/>
      <c r="H102" s="991"/>
      <c r="I102" s="991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80">
        <f>S3_archive.500_SEK</f>
        <v>200</v>
      </c>
      <c r="E104" s="980"/>
      <c r="F104" s="980"/>
      <c r="G104" s="980"/>
      <c r="H104" s="980"/>
      <c r="I104" s="980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78" t="s">
        <v>592</v>
      </c>
      <c r="C110" s="978"/>
      <c r="D110" s="978"/>
      <c r="E110" s="978"/>
      <c r="F110" s="978"/>
      <c r="G110" s="978"/>
      <c r="H110" s="672"/>
      <c r="J110" s="674"/>
      <c r="K110" s="924"/>
      <c r="L110" s="674"/>
      <c r="M110" s="664"/>
    </row>
    <row r="111" spans="2:19" s="4" customFormat="1" ht="25" customHeight="1">
      <c r="B111" s="978"/>
      <c r="C111" s="978"/>
      <c r="D111" s="978"/>
      <c r="E111" s="978"/>
      <c r="F111" s="978"/>
      <c r="G111" s="978"/>
      <c r="H111" s="672"/>
      <c r="J111" s="674"/>
      <c r="K111" s="924"/>
      <c r="L111" s="674"/>
      <c r="M111" s="664"/>
    </row>
    <row r="112" spans="2:19" s="4" customFormat="1" ht="25" customHeight="1">
      <c r="B112" s="978"/>
      <c r="C112" s="978"/>
      <c r="D112" s="978"/>
      <c r="E112" s="978"/>
      <c r="F112" s="978"/>
      <c r="G112" s="978"/>
      <c r="H112" s="672"/>
      <c r="J112" s="674"/>
      <c r="K112" s="924"/>
      <c r="L112" s="674"/>
      <c r="M112" s="664"/>
    </row>
    <row r="113" spans="2:32" s="4" customFormat="1" ht="25" customHeight="1">
      <c r="B113" s="549" t="s">
        <v>689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671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672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131" t="s">
        <v>281</v>
      </c>
      <c r="F117" s="769"/>
      <c r="G117" s="131" t="s">
        <v>676</v>
      </c>
      <c r="H117" s="24"/>
      <c r="I117" s="728" t="s">
        <v>716</v>
      </c>
      <c r="J117" s="728" t="s">
        <v>677</v>
      </c>
      <c r="K117" s="939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78" t="s">
        <v>427</v>
      </c>
      <c r="C125" s="978"/>
      <c r="D125" s="978"/>
      <c r="E125" s="978"/>
      <c r="F125" s="978"/>
      <c r="G125" s="978"/>
      <c r="H125" s="672"/>
      <c r="J125" s="674"/>
      <c r="K125" s="924"/>
      <c r="L125" s="674"/>
      <c r="M125" s="664"/>
    </row>
    <row r="126" spans="2:32" s="4" customFormat="1" ht="25" hidden="1" customHeight="1">
      <c r="B126" s="978"/>
      <c r="C126" s="978"/>
      <c r="D126" s="978"/>
      <c r="E126" s="978"/>
      <c r="F126" s="978"/>
      <c r="G126" s="978"/>
      <c r="H126" s="672"/>
      <c r="J126" s="674"/>
      <c r="K126" s="924"/>
      <c r="L126" s="674"/>
      <c r="M126" s="664"/>
    </row>
    <row r="127" spans="2:32" s="4" customFormat="1" ht="25" hidden="1" customHeight="1">
      <c r="B127" s="978"/>
      <c r="C127" s="978"/>
      <c r="D127" s="978"/>
      <c r="E127" s="978"/>
      <c r="F127" s="978"/>
      <c r="G127" s="978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511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586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501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79" t="s">
        <v>512</v>
      </c>
      <c r="D132" s="979"/>
      <c r="E132" s="979" t="s">
        <v>513</v>
      </c>
      <c r="F132" s="979"/>
      <c r="G132" s="1099" t="s">
        <v>505</v>
      </c>
      <c r="H132" s="1099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457</v>
      </c>
      <c r="C133" s="985" t="s">
        <v>517</v>
      </c>
      <c r="D133" s="985"/>
      <c r="E133" s="987" t="s">
        <v>516</v>
      </c>
      <c r="F133" s="987"/>
      <c r="G133" s="901" t="str">
        <f>PAAS_man.kubernetes_EUR</f>
        <v>Request a quote</v>
      </c>
      <c r="H133" s="899"/>
      <c r="I133" s="749"/>
      <c r="J133" s="911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458</v>
      </c>
      <c r="C134" s="986" t="s">
        <v>514</v>
      </c>
      <c r="D134" s="986"/>
      <c r="E134" s="988" t="s">
        <v>515</v>
      </c>
      <c r="F134" s="988"/>
      <c r="G134" s="902" t="str">
        <f>PAAS_man.kubernetes8_EUR</f>
        <v>Request a quote</v>
      </c>
      <c r="H134" s="900"/>
      <c r="I134" s="753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91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8" t="s">
        <v>690</v>
      </c>
      <c r="C139" s="978"/>
      <c r="D139" s="978"/>
      <c r="E139" s="978"/>
      <c r="F139" s="978"/>
      <c r="G139" s="978"/>
      <c r="H139" s="672"/>
      <c r="J139" s="674"/>
      <c r="K139" s="924"/>
      <c r="M139" s="664"/>
    </row>
    <row r="140" spans="2:32" s="4" customFormat="1" ht="25" customHeight="1">
      <c r="B140" s="978"/>
      <c r="C140" s="978"/>
      <c r="D140" s="978"/>
      <c r="E140" s="978"/>
      <c r="F140" s="978"/>
      <c r="G140" s="978"/>
      <c r="H140" s="672"/>
      <c r="J140" s="674"/>
      <c r="K140" s="924"/>
      <c r="M140" s="664"/>
    </row>
    <row r="141" spans="2:32" s="4" customFormat="1" ht="25" customHeight="1">
      <c r="B141" s="978"/>
      <c r="C141" s="978"/>
      <c r="D141" s="978"/>
      <c r="E141" s="978"/>
      <c r="F141" s="978"/>
      <c r="G141" s="978"/>
      <c r="H141" s="672"/>
      <c r="J141" s="674"/>
      <c r="K141" s="924"/>
      <c r="M141" s="664"/>
    </row>
    <row r="142" spans="2:32" s="4" customFormat="1" ht="25" customHeight="1">
      <c r="B142" s="465" t="s">
        <v>671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691</v>
      </c>
      <c r="M145" s="664"/>
    </row>
    <row r="146" spans="2:18" ht="25" customHeight="1">
      <c r="B146" s="470" t="s">
        <v>208</v>
      </c>
      <c r="C146" s="23" t="s">
        <v>102</v>
      </c>
      <c r="D146" s="23"/>
      <c r="E146" s="24" t="s">
        <v>271</v>
      </c>
      <c r="F146" s="24"/>
      <c r="G146" s="24"/>
      <c r="H146" s="24"/>
      <c r="I146" s="24"/>
      <c r="J146" s="23" t="s">
        <v>678</v>
      </c>
      <c r="K146" s="939" t="s">
        <v>679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681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680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680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692</v>
      </c>
      <c r="F151" s="37"/>
      <c r="G151" s="37"/>
      <c r="H151" s="37"/>
      <c r="I151" s="37"/>
      <c r="J151" s="770" t="s">
        <v>682</v>
      </c>
      <c r="K151" s="953" t="s">
        <v>683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693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694</v>
      </c>
      <c r="M158" s="664"/>
    </row>
    <row r="159" spans="2:18" ht="25" customHeight="1">
      <c r="B159" s="470" t="s">
        <v>208</v>
      </c>
      <c r="C159" s="23"/>
      <c r="D159" s="23"/>
      <c r="E159" s="24" t="s">
        <v>271</v>
      </c>
      <c r="F159" s="24"/>
      <c r="G159" s="24"/>
      <c r="H159" s="24"/>
      <c r="I159" s="24"/>
      <c r="J159" s="23" t="s">
        <v>678</v>
      </c>
      <c r="K159" s="939" t="s">
        <v>679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/>
      <c r="K163" s="919" t="s">
        <v>683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/>
      <c r="K164" s="920" t="s">
        <v>683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568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723</v>
      </c>
      <c r="M169" s="664"/>
    </row>
    <row r="170" spans="2:18" ht="25" customHeight="1">
      <c r="B170" s="470" t="s">
        <v>208</v>
      </c>
      <c r="C170" s="23"/>
      <c r="D170" s="23"/>
      <c r="E170" s="24" t="s">
        <v>271</v>
      </c>
      <c r="F170" s="24"/>
      <c r="G170" s="24"/>
      <c r="H170" s="24"/>
      <c r="I170" s="24"/>
      <c r="J170" s="131"/>
      <c r="K170" s="939" t="s">
        <v>679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">
        <v>683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">
        <v>683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728</v>
      </c>
      <c r="F173" s="30"/>
      <c r="G173" s="30"/>
      <c r="H173" s="30"/>
      <c r="I173" s="30"/>
      <c r="J173" s="40"/>
      <c r="K173" s="956" t="s">
        <v>683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650</v>
      </c>
      <c r="F174" s="771"/>
      <c r="G174" s="771"/>
      <c r="H174" s="771"/>
      <c r="I174" s="771"/>
      <c r="J174" s="779"/>
      <c r="K174" s="941" t="s">
        <v>683</v>
      </c>
      <c r="M174" s="664"/>
      <c r="N174" s="742"/>
      <c r="O174" s="8"/>
    </row>
    <row r="175" spans="2:18" ht="25" customHeight="1">
      <c r="B175" s="134" t="s">
        <v>471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56" t="s">
        <v>683</v>
      </c>
      <c r="M175" s="664"/>
      <c r="N175" s="742"/>
      <c r="O175" s="8"/>
    </row>
    <row r="176" spans="2:18" ht="25" customHeight="1">
      <c r="B176" s="137" t="s">
        <v>472</v>
      </c>
      <c r="C176" s="130"/>
      <c r="D176" s="38"/>
      <c r="E176" s="38" t="s">
        <v>150</v>
      </c>
      <c r="F176" s="771"/>
      <c r="G176" s="771"/>
      <c r="H176" s="771"/>
      <c r="I176" s="771"/>
      <c r="J176" s="779"/>
      <c r="K176" s="941" t="s">
        <v>683</v>
      </c>
      <c r="M176" s="664"/>
      <c r="N176" s="742"/>
      <c r="O176" s="8"/>
    </row>
    <row r="177" spans="2:20" ht="25" customHeight="1">
      <c r="B177" s="134" t="s">
        <v>435</v>
      </c>
      <c r="C177" s="129"/>
      <c r="D177" s="30"/>
      <c r="E177" s="30" t="s">
        <v>144</v>
      </c>
      <c r="F177" s="30"/>
      <c r="G177" s="30"/>
      <c r="H177" s="30"/>
      <c r="I177" s="30"/>
      <c r="J177" s="40"/>
      <c r="K177" s="956" t="s">
        <v>683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955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J180" s="740"/>
      <c r="K180" s="942"/>
      <c r="L180" s="742"/>
      <c r="M180" s="664"/>
      <c r="N180" s="675"/>
      <c r="O180" s="675"/>
    </row>
    <row r="181" spans="2:20" s="4" customFormat="1" ht="25" customHeight="1">
      <c r="B181" s="978" t="s">
        <v>295</v>
      </c>
      <c r="C181" s="978"/>
      <c r="D181" s="978"/>
      <c r="E181" s="978"/>
      <c r="F181" s="978"/>
      <c r="G181" s="978"/>
      <c r="H181" s="780"/>
      <c r="J181" s="674"/>
      <c r="K181" s="924"/>
      <c r="M181" s="664"/>
    </row>
    <row r="182" spans="2:20" s="4" customFormat="1" ht="25" customHeight="1">
      <c r="B182" s="978"/>
      <c r="C182" s="978"/>
      <c r="D182" s="978"/>
      <c r="E182" s="978"/>
      <c r="F182" s="978"/>
      <c r="G182" s="978"/>
      <c r="H182" s="780"/>
      <c r="J182" s="674"/>
      <c r="K182" s="924"/>
      <c r="M182" s="664"/>
    </row>
    <row r="183" spans="2:20" s="4" customFormat="1" ht="25" customHeight="1">
      <c r="B183" s="978"/>
      <c r="C183" s="978"/>
      <c r="D183" s="978"/>
      <c r="E183" s="978"/>
      <c r="F183" s="978"/>
      <c r="G183" s="978"/>
      <c r="H183" s="780"/>
      <c r="J183" s="674"/>
      <c r="K183" s="924"/>
      <c r="M183" s="664"/>
    </row>
    <row r="184" spans="2:20" s="4" customFormat="1" ht="25" customHeight="1">
      <c r="B184" s="999" t="s">
        <v>695</v>
      </c>
      <c r="C184" s="999"/>
      <c r="D184" s="999"/>
      <c r="E184" s="999"/>
      <c r="F184" s="999"/>
      <c r="H184" s="780"/>
      <c r="J184" s="674"/>
      <c r="K184" s="924"/>
      <c r="M184" s="664"/>
    </row>
    <row r="185" spans="2:20" s="4" customFormat="1" ht="25" customHeight="1">
      <c r="B185" s="465" t="s">
        <v>671</v>
      </c>
      <c r="C185" s="503"/>
      <c r="D185" s="503"/>
      <c r="E185" s="503"/>
      <c r="F185" s="503"/>
      <c r="G185" s="677"/>
      <c r="H185" s="678"/>
      <c r="I185" s="677"/>
      <c r="J185" s="679"/>
      <c r="K185" s="925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925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957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696</v>
      </c>
      <c r="M188" s="664"/>
    </row>
    <row r="189" spans="2:20" ht="25" customHeight="1">
      <c r="B189" s="470" t="s">
        <v>208</v>
      </c>
      <c r="C189" s="23"/>
      <c r="D189" s="24" t="s">
        <v>271</v>
      </c>
      <c r="E189" s="24"/>
      <c r="F189" s="24"/>
      <c r="G189" s="24"/>
      <c r="H189" s="24"/>
      <c r="I189" s="23" t="s">
        <v>678</v>
      </c>
      <c r="J189" s="23"/>
      <c r="K189" s="939" t="s">
        <v>679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652</v>
      </c>
      <c r="E190" s="40"/>
      <c r="F190" s="30"/>
      <c r="G190" s="40"/>
      <c r="H190" s="40"/>
      <c r="I190" s="775" t="s">
        <v>94</v>
      </c>
      <c r="J190" s="775"/>
      <c r="K190" s="940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697</v>
      </c>
      <c r="E191" s="31"/>
      <c r="F191" s="771"/>
      <c r="G191" s="779"/>
      <c r="H191" s="779"/>
      <c r="I191" s="773" t="s">
        <v>699</v>
      </c>
      <c r="J191" s="773"/>
      <c r="K191" s="941" t="s">
        <v>700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698</v>
      </c>
      <c r="E192" s="129"/>
      <c r="F192" s="129"/>
      <c r="G192" s="129"/>
      <c r="H192" s="40"/>
      <c r="I192" s="770" t="s">
        <v>297</v>
      </c>
      <c r="J192" s="770"/>
      <c r="K192" s="940" t="s">
        <v>683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955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941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299</v>
      </c>
      <c r="C195" s="878"/>
      <c r="D195" s="878"/>
      <c r="F195" s="878"/>
      <c r="G195" s="878"/>
      <c r="H195" s="878"/>
      <c r="I195" s="879"/>
      <c r="J195" s="879"/>
      <c r="K195" s="958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701</v>
      </c>
      <c r="M196" s="664"/>
    </row>
    <row r="197" spans="2:18" ht="25" customHeight="1">
      <c r="B197" s="470" t="s">
        <v>208</v>
      </c>
      <c r="C197" s="23"/>
      <c r="D197" s="24" t="s">
        <v>271</v>
      </c>
      <c r="E197" s="24"/>
      <c r="F197" s="24"/>
      <c r="G197" s="24"/>
      <c r="H197" s="24"/>
      <c r="I197" s="23" t="s">
        <v>678</v>
      </c>
      <c r="J197" s="23"/>
      <c r="K197" s="939" t="s">
        <v>679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297</v>
      </c>
      <c r="J198" s="770"/>
      <c r="K198" s="940">
        <f>PS_consult.jun_EUR</f>
        <v>100.303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297</v>
      </c>
      <c r="J199" s="773"/>
      <c r="K199" s="941">
        <f>PS_consult.sen_EUR</f>
        <v>122.28599999999999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297</v>
      </c>
      <c r="J200" s="770"/>
      <c r="K200" s="940">
        <f>PS_cloudarch.jun_EUR</f>
        <v>113.65299999999999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297</v>
      </c>
      <c r="J201" s="773"/>
      <c r="K201" s="941">
        <f>PS_cloudarch.sen_EUR</f>
        <v>122.28599999999999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297</v>
      </c>
      <c r="J202" s="770"/>
      <c r="K202" s="940">
        <f>PS_pm.jun_EUR</f>
        <v>101.371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297</v>
      </c>
      <c r="J203" s="773"/>
      <c r="K203" s="941">
        <f>PS_pm.sen_EUR</f>
        <v>122.28599999999999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955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941"/>
      <c r="M205" s="664"/>
      <c r="N205" s="742"/>
      <c r="O205" s="8"/>
    </row>
    <row r="206" spans="2:18" ht="25" customHeight="1">
      <c r="B206" s="649" t="s">
        <v>702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703</v>
      </c>
      <c r="M207" s="664"/>
    </row>
    <row r="208" spans="2:18" ht="25" customHeight="1">
      <c r="B208" s="470" t="s">
        <v>208</v>
      </c>
      <c r="C208" s="23"/>
      <c r="D208" s="24" t="s">
        <v>271</v>
      </c>
      <c r="E208" s="132"/>
      <c r="F208" s="24"/>
      <c r="G208" s="131" t="s">
        <v>684</v>
      </c>
      <c r="H208" s="23"/>
      <c r="I208" s="23" t="s">
        <v>678</v>
      </c>
      <c r="J208" s="23"/>
      <c r="K208" s="939" t="s">
        <v>92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704</v>
      </c>
      <c r="E209" s="40"/>
      <c r="F209" s="30"/>
      <c r="G209" s="40" t="s">
        <v>251</v>
      </c>
      <c r="H209" s="770"/>
      <c r="I209" s="770" t="s">
        <v>708</v>
      </c>
      <c r="J209" s="770"/>
      <c r="K209" s="940" t="s">
        <v>683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705</v>
      </c>
      <c r="E210" s="31"/>
      <c r="F210" s="771"/>
      <c r="G210" s="779" t="s">
        <v>251</v>
      </c>
      <c r="H210" s="773"/>
      <c r="I210" s="773" t="s">
        <v>708</v>
      </c>
      <c r="J210" s="773"/>
      <c r="K210" s="941" t="s">
        <v>683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706</v>
      </c>
      <c r="E211" s="40"/>
      <c r="F211" s="30"/>
      <c r="G211" s="40" t="s">
        <v>707</v>
      </c>
      <c r="H211" s="770"/>
      <c r="I211" s="770" t="s">
        <v>708</v>
      </c>
      <c r="J211" s="770"/>
      <c r="K211" s="940" t="s">
        <v>683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307</v>
      </c>
      <c r="E212" s="31"/>
      <c r="F212" s="771"/>
      <c r="G212" s="779" t="s">
        <v>707</v>
      </c>
      <c r="H212" s="773"/>
      <c r="I212" s="773" t="s">
        <v>708</v>
      </c>
      <c r="J212" s="773"/>
      <c r="K212" s="941" t="s">
        <v>683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955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943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9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9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997" t="s">
        <v>685</v>
      </c>
      <c r="C219" s="997"/>
      <c r="D219" s="997"/>
      <c r="E219" s="997"/>
      <c r="F219" s="997"/>
      <c r="G219" s="997"/>
      <c r="H219" s="666"/>
      <c r="I219" s="793"/>
      <c r="J219" s="3"/>
      <c r="K219" s="922"/>
      <c r="L219" s="3"/>
      <c r="M219" s="664"/>
    </row>
    <row r="220" spans="1:18" s="4" customFormat="1" ht="25" customHeight="1">
      <c r="A220" s="3"/>
      <c r="B220" s="997"/>
      <c r="C220" s="997"/>
      <c r="D220" s="997"/>
      <c r="E220" s="997"/>
      <c r="F220" s="997"/>
      <c r="G220" s="997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97"/>
      <c r="C221" s="997"/>
      <c r="D221" s="997"/>
      <c r="E221" s="997"/>
      <c r="F221" s="997"/>
      <c r="G221" s="997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883" t="s">
        <v>671</v>
      </c>
      <c r="C222" s="135"/>
      <c r="D222" s="135"/>
      <c r="E222" s="135"/>
      <c r="F222" s="135"/>
      <c r="G222" s="3"/>
      <c r="H222" s="666"/>
      <c r="I222" s="793"/>
      <c r="J222" s="3"/>
      <c r="K222" s="922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422" t="s">
        <v>709</v>
      </c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18" t="s">
        <v>669</v>
      </c>
      <c r="C225" s="62"/>
      <c r="D225" s="62"/>
      <c r="E225" s="62"/>
      <c r="F225" s="62"/>
      <c r="G225" s="3"/>
      <c r="H225" s="666"/>
      <c r="I225" s="3"/>
      <c r="J225" s="667"/>
      <c r="K225" s="922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9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9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482</v>
      </c>
      <c r="C228" s="56"/>
      <c r="D228" s="57"/>
      <c r="E228" s="56"/>
      <c r="F228" s="659"/>
      <c r="G228" s="659"/>
      <c r="H228" s="659"/>
      <c r="I228" s="56"/>
      <c r="J228" s="659" t="s">
        <v>685</v>
      </c>
      <c r="K228" s="9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29" s="71"/>
      <c r="E229" s="656"/>
      <c r="F229" s="656"/>
      <c r="G229" s="657"/>
      <c r="H229" s="800"/>
      <c r="I229" s="801"/>
      <c r="J229" s="967">
        <f>K66+K75+K57+K40+K84</f>
        <v>0</v>
      </c>
      <c r="K229" s="940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S3"&amp;"     /     "&amp;K95&amp;" TB - Archive"</f>
        <v>0 TB - S3     /     0 TB - Archive</v>
      </c>
      <c r="D230" s="658"/>
      <c r="E230" s="658"/>
      <c r="F230" s="802"/>
      <c r="G230" s="803"/>
      <c r="H230" s="803"/>
      <c r="I230" s="804"/>
      <c r="J230" s="968">
        <f>K97</f>
        <v>0</v>
      </c>
      <c r="K230" s="940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968">
        <f>K121</f>
        <v>0</v>
      </c>
      <c r="K231" s="940"/>
      <c r="L231" s="2"/>
      <c r="M231" s="664"/>
      <c r="N231" s="28"/>
    </row>
    <row r="232" spans="1:20" s="808" customFormat="1" ht="25" customHeight="1">
      <c r="A232" s="806"/>
      <c r="B232" s="916" t="s">
        <v>30</v>
      </c>
      <c r="C232" s="907"/>
      <c r="D232" s="907"/>
      <c r="E232" s="907"/>
      <c r="F232" s="907"/>
      <c r="G232" s="907"/>
      <c r="H232" s="907"/>
      <c r="I232" s="907"/>
      <c r="J232" s="969">
        <f>SUM(J229:J231)</f>
        <v>0</v>
      </c>
      <c r="K232" s="9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9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940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945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965"/>
    </row>
    <row r="237" spans="1:20" s="112" customFormat="1" ht="25" customHeight="1">
      <c r="B237" s="913" t="s">
        <v>710</v>
      </c>
      <c r="C237" s="108"/>
      <c r="D237" s="108"/>
      <c r="E237" s="108"/>
      <c r="F237" s="820"/>
      <c r="G237" s="821"/>
      <c r="H237" s="822"/>
      <c r="I237" s="822"/>
      <c r="J237" s="822"/>
      <c r="K237" s="966"/>
      <c r="L237" s="819"/>
      <c r="M237" s="819"/>
      <c r="N237" s="819"/>
    </row>
    <row r="238" spans="1:20" s="112" customFormat="1" ht="25" customHeight="1">
      <c r="B238" s="913" t="s">
        <v>711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4" t="s">
        <v>712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3" t="s">
        <v>714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5" t="s">
        <v>713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6"/>
      <c r="K266" s="966"/>
      <c r="M266" s="824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28" spans="2:4" ht="25" customHeight="1">
      <c r="B328" s="647"/>
      <c r="C328" s="38"/>
      <c r="D328" s="96"/>
    </row>
  </sheetData>
  <sheetProtection algorithmName="SHA-512" hashValue="vBlm8+x20N7neGXfPW+6gPboyYZIeZ1g0qnTeJUgWwZhPOD5tlmlLv1xcD6zuYsx9YHW1jkmKYTw/P/ZUWakIg==" saltValue="lK1EdqQDkAZu6eUYQv5eNA==" spinCount="100000" sheet="1" selectLockedCells="1"/>
  <mergeCells count="36">
    <mergeCell ref="B184:F184"/>
    <mergeCell ref="B219:G221"/>
    <mergeCell ref="C134:D134"/>
    <mergeCell ref="E134:F134"/>
    <mergeCell ref="B139:G141"/>
    <mergeCell ref="B181:G183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D103:E103"/>
    <mergeCell ref="F103:G103"/>
    <mergeCell ref="H103:I103"/>
    <mergeCell ref="D104:E104"/>
    <mergeCell ref="F104:G104"/>
    <mergeCell ref="H104:I104"/>
    <mergeCell ref="D102:E102"/>
    <mergeCell ref="F102:G102"/>
    <mergeCell ref="H102:I102"/>
    <mergeCell ref="B4:C4"/>
    <mergeCell ref="B15:G17"/>
    <mergeCell ref="B60:E60"/>
    <mergeCell ref="B70:E70"/>
    <mergeCell ref="B87:G89"/>
    <mergeCell ref="D100:E100"/>
    <mergeCell ref="F100:G100"/>
    <mergeCell ref="H100:I100"/>
  </mergeCells>
  <phoneticPr fontId="2" type="noConversion"/>
  <conditionalFormatting sqref="I26:I39 K26:K39 I47:I56 K47:K56 I62:I65 K62:K65 I72:I74 K72:K74 I81:I83 K81:K83 I95:I96 K95:K96 I118:I120 K118:K120 J119:J120">
    <cfRule type="cellIs" dxfId="11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6" r:id="rId3" xr:uid="{128D18DC-0284-AF41-89B0-BD9AA736B16F}"/>
    <hyperlink ref="B60" location="'SEK - Safesprings tjänster 2022'!I83" display="Central blocklagring kan köpas till insatserna. Se &quot;Central blocklagring&quot; i prislistan." xr:uid="{94663253-D790-624E-980C-3D8271E9FE28}"/>
    <hyperlink ref="B60:E60" location="'SEK - Safesprings tjänster 2022'!I81" display="Central blocklagring kan köpas till insatserna. Se &quot;Central blocklagring&quot; i prislistan." xr:uid="{558CA654-9343-844E-B1F2-9024192B08DF}"/>
    <hyperlink ref="B70" location="'SEK - Safesprings tjänster 2022'!I83" display="Central blocklagring kan köpas till insatserna. Se &quot;Central blocklagring&quot; i prislistan." xr:uid="{4D66963B-4C3B-2747-A3A7-EC7E42F42755}"/>
    <hyperlink ref="B70:E70" location="'SEK - Safesprings tjänster 2022'!I81" display="Central blocklagring kan köpas till insatserna. Se &quot;Central blocklagring&quot; i prislistan." xr:uid="{2694137C-A7AC-1A4F-BF8F-65A56639E707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4900-6A48-5D45-99FE-0C2AD2823D25}">
  <sheetPr>
    <pageSetUpPr fitToPage="1"/>
  </sheetPr>
  <dimension ref="A1:AF328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93"/>
      <c r="C4" s="993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738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579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78" t="s">
        <v>590</v>
      </c>
      <c r="C15" s="978"/>
      <c r="D15" s="978"/>
      <c r="E15" s="978"/>
      <c r="F15" s="978"/>
      <c r="G15" s="978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78"/>
      <c r="C16" s="978"/>
      <c r="D16" s="978"/>
      <c r="E16" s="978"/>
      <c r="F16" s="978"/>
      <c r="G16" s="978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78"/>
      <c r="C17" s="978"/>
      <c r="D17" s="978"/>
      <c r="E17" s="978"/>
      <c r="F17" s="978"/>
      <c r="G17" s="978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495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501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627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721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497</v>
      </c>
      <c r="F25" s="131" t="s">
        <v>13</v>
      </c>
      <c r="G25" s="131" t="s">
        <v>498</v>
      </c>
      <c r="H25" s="686"/>
      <c r="I25" s="687" t="s">
        <v>499</v>
      </c>
      <c r="J25" s="686"/>
      <c r="K25" s="928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9" si="0">G26/720</f>
        <v>5.9333333333333321E-2</v>
      </c>
      <c r="G26" s="888">
        <f t="shared" ref="G26:G39" si="1">C26*IAAS_vcpu_EUR+D26*IAAS_ram_EUR+E26*IAAS_nvme_EUR</f>
        <v>42.719999999999992</v>
      </c>
      <c r="H26" s="44"/>
      <c r="I26" s="691"/>
      <c r="J26" s="44"/>
      <c r="K26" s="929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si="0"/>
        <v>0.43758333333333327</v>
      </c>
      <c r="G36" s="888">
        <f t="shared" si="1"/>
        <v>315.05999999999995</v>
      </c>
      <c r="H36" s="44"/>
      <c r="I36" s="691"/>
      <c r="J36" s="44"/>
      <c r="K36" s="929">
        <f t="shared" si="2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0"/>
        <v>0.49938888888888883</v>
      </c>
      <c r="G37" s="889">
        <f t="shared" si="1"/>
        <v>359.55999999999995</v>
      </c>
      <c r="H37" s="46"/>
      <c r="I37" s="691"/>
      <c r="J37" s="46"/>
      <c r="K37" s="930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si="0"/>
        <v>0.65513888888888883</v>
      </c>
      <c r="G38" s="888">
        <f t="shared" si="1"/>
        <v>471.69999999999993</v>
      </c>
      <c r="H38" s="44"/>
      <c r="I38" s="691"/>
      <c r="J38" s="44"/>
      <c r="K38" s="929">
        <f t="shared" si="2"/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si="0"/>
        <v>0.87516666666666654</v>
      </c>
      <c r="G39" s="889">
        <f t="shared" si="1"/>
        <v>630.11999999999989</v>
      </c>
      <c r="H39" s="46"/>
      <c r="I39" s="691"/>
      <c r="J39" s="46"/>
      <c r="K39" s="930">
        <f t="shared" si="2"/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52" t="s">
        <v>628</v>
      </c>
      <c r="C44" s="650"/>
      <c r="D44" s="650"/>
      <c r="K44" s="934"/>
      <c r="M44" s="664"/>
    </row>
    <row r="45" spans="2:18" ht="25" customHeight="1">
      <c r="B45" s="628" t="s">
        <v>721</v>
      </c>
      <c r="C45" s="651"/>
      <c r="D45" s="651"/>
      <c r="E45" s="651"/>
      <c r="F45" s="651"/>
      <c r="M45" s="664"/>
    </row>
    <row r="46" spans="2:18" s="651" customFormat="1" ht="25" customHeight="1">
      <c r="B46" s="444" t="s">
        <v>9</v>
      </c>
      <c r="C46" s="11" t="s">
        <v>10</v>
      </c>
      <c r="D46" s="11" t="s">
        <v>11</v>
      </c>
      <c r="E46" s="131" t="s">
        <v>497</v>
      </c>
      <c r="F46" s="131" t="s">
        <v>13</v>
      </c>
      <c r="G46" s="131" t="s">
        <v>498</v>
      </c>
      <c r="H46" s="686"/>
      <c r="I46" s="687" t="s">
        <v>499</v>
      </c>
      <c r="J46" s="686"/>
      <c r="K46" s="928" t="s">
        <v>17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6" si="3">G47/720</f>
        <v>2.3486111111111107E-2</v>
      </c>
      <c r="G47" s="888">
        <f t="shared" ref="G47:G56" si="4">C47*IAAS_vcpu_EUR+D47*IAAS_ram_EUR+E47*IAAS_ssd_EUR</f>
        <v>16.909999999999997</v>
      </c>
      <c r="H47" s="44"/>
      <c r="I47" s="691"/>
      <c r="J47" s="44"/>
      <c r="K47" s="929">
        <f t="shared" ref="K47:K56" si="5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3"/>
        <v>3.7083333333333329E-2</v>
      </c>
      <c r="G48" s="889">
        <f t="shared" si="4"/>
        <v>26.699999999999996</v>
      </c>
      <c r="H48" s="46"/>
      <c r="I48" s="691"/>
      <c r="J48" s="46"/>
      <c r="K48" s="930">
        <f t="shared" si="5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3"/>
        <v>4.6972222222222214E-2</v>
      </c>
      <c r="G49" s="888">
        <f t="shared" si="4"/>
        <v>33.819999999999993</v>
      </c>
      <c r="H49" s="44"/>
      <c r="I49" s="691"/>
      <c r="J49" s="44"/>
      <c r="K49" s="929">
        <f t="shared" si="5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3"/>
        <v>7.4166666666666659E-2</v>
      </c>
      <c r="G50" s="889">
        <f t="shared" si="4"/>
        <v>53.399999999999991</v>
      </c>
      <c r="H50" s="46"/>
      <c r="I50" s="691"/>
      <c r="J50" s="46"/>
      <c r="K50" s="930">
        <f t="shared" si="5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3"/>
        <v>9.3944444444444428E-2</v>
      </c>
      <c r="G51" s="888">
        <f t="shared" si="4"/>
        <v>67.639999999999986</v>
      </c>
      <c r="H51" s="44"/>
      <c r="I51" s="691"/>
      <c r="J51" s="44"/>
      <c r="K51" s="929">
        <f t="shared" si="5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3"/>
        <v>0.14833333333333332</v>
      </c>
      <c r="G52" s="889">
        <f t="shared" si="4"/>
        <v>106.79999999999998</v>
      </c>
      <c r="H52" s="46"/>
      <c r="I52" s="691"/>
      <c r="J52" s="46"/>
      <c r="K52" s="930">
        <f t="shared" si="5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3"/>
        <v>0.18788888888888886</v>
      </c>
      <c r="G53" s="888">
        <f t="shared" si="4"/>
        <v>135.27999999999997</v>
      </c>
      <c r="H53" s="44"/>
      <c r="I53" s="691"/>
      <c r="J53" s="44"/>
      <c r="K53" s="929">
        <f t="shared" si="5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3"/>
        <v>0.29666666666666663</v>
      </c>
      <c r="G54" s="889">
        <f t="shared" si="4"/>
        <v>213.59999999999997</v>
      </c>
      <c r="H54" s="46"/>
      <c r="I54" s="691"/>
      <c r="J54" s="46"/>
      <c r="K54" s="930">
        <f t="shared" si="5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si="3"/>
        <v>0.37577777777777771</v>
      </c>
      <c r="G55" s="888">
        <f t="shared" si="4"/>
        <v>270.55999999999995</v>
      </c>
      <c r="H55" s="44"/>
      <c r="I55" s="691"/>
      <c r="J55" s="44"/>
      <c r="K55" s="929">
        <f t="shared" si="5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3"/>
        <v>0.59333333333333327</v>
      </c>
      <c r="G56" s="889">
        <f t="shared" si="4"/>
        <v>427.19999999999993</v>
      </c>
      <c r="H56" s="46"/>
      <c r="I56" s="691"/>
      <c r="J56" s="46"/>
      <c r="K56" s="930">
        <f t="shared" si="5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96" t="s">
        <v>487</v>
      </c>
      <c r="C60" s="996"/>
      <c r="D60" s="996"/>
      <c r="E60" s="996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6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6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6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6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96" t="s">
        <v>487</v>
      </c>
      <c r="C70" s="996"/>
      <c r="D70" s="996"/>
      <c r="E70" s="996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7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7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7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500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496</v>
      </c>
      <c r="M79" s="664"/>
    </row>
    <row r="80" spans="2:20" s="729" customFormat="1" ht="25" customHeight="1">
      <c r="B80" s="444" t="s">
        <v>9</v>
      </c>
      <c r="C80" s="24" t="s">
        <v>64</v>
      </c>
      <c r="D80" s="24"/>
      <c r="E80" s="24"/>
      <c r="F80" s="132" t="s">
        <v>13</v>
      </c>
      <c r="G80" s="131" t="s">
        <v>498</v>
      </c>
      <c r="H80" s="24"/>
      <c r="I80" s="728" t="s">
        <v>504</v>
      </c>
      <c r="J80" s="24"/>
      <c r="K80" s="939" t="s">
        <v>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78" t="s">
        <v>591</v>
      </c>
      <c r="C87" s="978"/>
      <c r="D87" s="978"/>
      <c r="E87" s="978"/>
      <c r="F87" s="978"/>
      <c r="G87" s="978"/>
      <c r="H87" s="672"/>
      <c r="J87" s="674"/>
      <c r="K87" s="924"/>
      <c r="M87" s="664"/>
    </row>
    <row r="88" spans="2:20" s="4" customFormat="1" ht="25" customHeight="1">
      <c r="B88" s="978"/>
      <c r="C88" s="978"/>
      <c r="D88" s="978"/>
      <c r="E88" s="978"/>
      <c r="F88" s="978"/>
      <c r="G88" s="978"/>
      <c r="H88" s="672"/>
      <c r="J88" s="674"/>
      <c r="K88" s="924"/>
      <c r="M88" s="664"/>
    </row>
    <row r="89" spans="2:20" s="4" customFormat="1" ht="25" customHeight="1">
      <c r="B89" s="978"/>
      <c r="C89" s="978"/>
      <c r="D89" s="978"/>
      <c r="E89" s="978"/>
      <c r="F89" s="978"/>
      <c r="G89" s="978"/>
      <c r="H89" s="672"/>
      <c r="J89" s="674"/>
      <c r="K89" s="924"/>
      <c r="M89" s="664"/>
    </row>
    <row r="90" spans="2:20" s="4" customFormat="1" ht="25" customHeight="1">
      <c r="B90" s="549" t="s">
        <v>724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501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9</v>
      </c>
      <c r="C94" s="10"/>
      <c r="D94" s="131"/>
      <c r="E94" s="131"/>
      <c r="F94" s="24"/>
      <c r="G94" s="131" t="s">
        <v>502</v>
      </c>
      <c r="H94" s="24"/>
      <c r="I94" s="728" t="s">
        <v>503</v>
      </c>
      <c r="J94" s="131"/>
      <c r="K94" s="939" t="s">
        <v>83</v>
      </c>
      <c r="L94" s="680"/>
      <c r="M94" s="664"/>
      <c r="N94" s="675"/>
    </row>
    <row r="95" spans="2:20" s="752" customFormat="1" ht="25" customHeight="1">
      <c r="B95" s="445" t="s">
        <v>484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92" t="s">
        <v>225</v>
      </c>
      <c r="E100" s="992"/>
      <c r="F100" s="992"/>
      <c r="G100" s="992"/>
      <c r="H100" s="992"/>
      <c r="I100" s="992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91">
        <f>S3_archive.50_SEK</f>
        <v>350</v>
      </c>
      <c r="E102" s="991"/>
      <c r="F102" s="991"/>
      <c r="G102" s="991"/>
      <c r="H102" s="991"/>
      <c r="I102" s="991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9">
        <f>S3_archive.100_SEK</f>
        <v>270</v>
      </c>
      <c r="E103" s="989"/>
      <c r="F103" s="989"/>
      <c r="G103" s="989"/>
      <c r="H103" s="989"/>
      <c r="I103" s="989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80">
        <f>S3_archive.500_SEK</f>
        <v>200</v>
      </c>
      <c r="E104" s="980"/>
      <c r="F104" s="980"/>
      <c r="G104" s="980"/>
      <c r="H104" s="980"/>
      <c r="I104" s="980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9">
        <f>S3_archive.1000_SEK</f>
        <v>185</v>
      </c>
      <c r="E105" s="989"/>
      <c r="F105" s="989"/>
      <c r="G105" s="989"/>
      <c r="H105" s="989"/>
      <c r="I105" s="989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90" t="str">
        <f>S3_archive.quote_SEK</f>
        <v>Be om offert</v>
      </c>
      <c r="E106" s="990"/>
      <c r="F106" s="990"/>
      <c r="G106" s="990"/>
      <c r="H106" s="990"/>
      <c r="I106" s="990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78" t="s">
        <v>592</v>
      </c>
      <c r="C110" s="978"/>
      <c r="D110" s="978"/>
      <c r="E110" s="978"/>
      <c r="F110" s="978"/>
      <c r="G110" s="978"/>
      <c r="H110" s="672"/>
      <c r="J110" s="674"/>
      <c r="K110" s="924"/>
      <c r="L110" s="674"/>
      <c r="M110" s="664"/>
    </row>
    <row r="111" spans="2:19" s="4" customFormat="1" ht="25" customHeight="1">
      <c r="B111" s="978"/>
      <c r="C111" s="978"/>
      <c r="D111" s="978"/>
      <c r="E111" s="978"/>
      <c r="F111" s="978"/>
      <c r="G111" s="978"/>
      <c r="H111" s="672"/>
      <c r="J111" s="674"/>
      <c r="K111" s="924"/>
      <c r="L111" s="674"/>
      <c r="M111" s="664"/>
    </row>
    <row r="112" spans="2:19" s="4" customFormat="1" ht="25" customHeight="1">
      <c r="B112" s="978"/>
      <c r="C112" s="978"/>
      <c r="D112" s="978"/>
      <c r="E112" s="978"/>
      <c r="F112" s="978"/>
      <c r="G112" s="978"/>
      <c r="H112" s="672"/>
      <c r="J112" s="674"/>
      <c r="K112" s="924"/>
      <c r="L112" s="674"/>
      <c r="M112" s="664"/>
    </row>
    <row r="113" spans="2:32" s="4" customFormat="1" ht="25" customHeight="1">
      <c r="B113" s="549" t="s">
        <v>485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501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9</v>
      </c>
      <c r="C117" s="769"/>
      <c r="D117" s="769"/>
      <c r="E117" s="131" t="s">
        <v>505</v>
      </c>
      <c r="F117" s="769"/>
      <c r="G117" s="131" t="s">
        <v>506</v>
      </c>
      <c r="H117" s="24"/>
      <c r="I117" s="728" t="s">
        <v>504</v>
      </c>
      <c r="J117" s="728" t="s">
        <v>507</v>
      </c>
      <c r="K117" s="939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78" t="s">
        <v>427</v>
      </c>
      <c r="C125" s="978"/>
      <c r="D125" s="978"/>
      <c r="E125" s="978"/>
      <c r="F125" s="978"/>
      <c r="G125" s="978"/>
      <c r="H125" s="672"/>
      <c r="J125" s="674"/>
      <c r="K125" s="924"/>
      <c r="L125" s="674"/>
      <c r="M125" s="664"/>
    </row>
    <row r="126" spans="2:32" s="4" customFormat="1" ht="25" hidden="1" customHeight="1">
      <c r="B126" s="978"/>
      <c r="C126" s="978"/>
      <c r="D126" s="978"/>
      <c r="E126" s="978"/>
      <c r="F126" s="978"/>
      <c r="G126" s="978"/>
      <c r="H126" s="672"/>
      <c r="J126" s="674"/>
      <c r="K126" s="924"/>
      <c r="L126" s="674"/>
      <c r="M126" s="664"/>
    </row>
    <row r="127" spans="2:32" s="4" customFormat="1" ht="25" hidden="1" customHeight="1">
      <c r="B127" s="978"/>
      <c r="C127" s="978"/>
      <c r="D127" s="978"/>
      <c r="E127" s="978"/>
      <c r="F127" s="978"/>
      <c r="G127" s="978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511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586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501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79" t="s">
        <v>512</v>
      </c>
      <c r="D132" s="979"/>
      <c r="E132" s="979" t="s">
        <v>513</v>
      </c>
      <c r="F132" s="979"/>
      <c r="G132" s="1099" t="s">
        <v>505</v>
      </c>
      <c r="H132" s="1099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457</v>
      </c>
      <c r="C133" s="985" t="s">
        <v>517</v>
      </c>
      <c r="D133" s="985"/>
      <c r="E133" s="987" t="s">
        <v>516</v>
      </c>
      <c r="F133" s="987"/>
      <c r="G133" s="901" t="str">
        <f>PAAS_man.kubernetes_EUR</f>
        <v>Request a quote</v>
      </c>
      <c r="H133" s="899"/>
      <c r="I133" s="975"/>
      <c r="J133" s="977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458</v>
      </c>
      <c r="C134" s="986" t="s">
        <v>514</v>
      </c>
      <c r="D134" s="986"/>
      <c r="E134" s="988" t="s">
        <v>515</v>
      </c>
      <c r="F134" s="988"/>
      <c r="G134" s="902" t="str">
        <f>PAAS_man.kubernetes8_EUR</f>
        <v>Request a quote</v>
      </c>
      <c r="H134" s="900"/>
      <c r="I134" s="976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87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8" t="s">
        <v>100</v>
      </c>
      <c r="C139" s="978"/>
      <c r="D139" s="978"/>
      <c r="E139" s="978"/>
      <c r="F139" s="978"/>
      <c r="G139" s="978"/>
      <c r="H139" s="672"/>
      <c r="J139" s="674"/>
      <c r="K139" s="924"/>
      <c r="M139" s="664"/>
    </row>
    <row r="140" spans="2:32" s="4" customFormat="1" ht="25" customHeight="1">
      <c r="B140" s="978"/>
      <c r="C140" s="978"/>
      <c r="D140" s="978"/>
      <c r="E140" s="978"/>
      <c r="F140" s="978"/>
      <c r="G140" s="978"/>
      <c r="H140" s="672"/>
      <c r="J140" s="674"/>
      <c r="K140" s="924"/>
      <c r="M140" s="664"/>
    </row>
    <row r="141" spans="2:32" s="4" customFormat="1" ht="25" customHeight="1">
      <c r="B141" s="978"/>
      <c r="C141" s="978"/>
      <c r="D141" s="978"/>
      <c r="E141" s="978"/>
      <c r="F141" s="978"/>
      <c r="G141" s="978"/>
      <c r="H141" s="672"/>
      <c r="J141" s="674"/>
      <c r="K141" s="924"/>
      <c r="M141" s="664"/>
    </row>
    <row r="142" spans="2:32" s="4" customFormat="1" ht="25" customHeight="1">
      <c r="B142" s="465" t="s">
        <v>6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518</v>
      </c>
      <c r="M145" s="664"/>
    </row>
    <row r="146" spans="2:18" ht="25" customHeight="1">
      <c r="B146" s="470" t="s">
        <v>9</v>
      </c>
      <c r="C146" s="23" t="s">
        <v>102</v>
      </c>
      <c r="D146" s="23"/>
      <c r="E146" s="24" t="s">
        <v>64</v>
      </c>
      <c r="F146" s="24"/>
      <c r="G146" s="24"/>
      <c r="H146" s="24"/>
      <c r="I146" s="24"/>
      <c r="J146" s="23" t="s">
        <v>519</v>
      </c>
      <c r="K146" s="939" t="s">
        <v>14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520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111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111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521</v>
      </c>
      <c r="F151" s="37"/>
      <c r="G151" s="37"/>
      <c r="H151" s="37"/>
      <c r="I151" s="37"/>
      <c r="J151" s="770" t="s">
        <v>116</v>
      </c>
      <c r="K151" s="953" t="str">
        <f>NET_mgn.slb_EUR</f>
        <v>Request a quote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522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523</v>
      </c>
      <c r="M158" s="664"/>
    </row>
    <row r="159" spans="2:18" ht="25" customHeight="1">
      <c r="B159" s="470" t="s">
        <v>9</v>
      </c>
      <c r="C159" s="23"/>
      <c r="D159" s="23"/>
      <c r="E159" s="24" t="s">
        <v>64</v>
      </c>
      <c r="F159" s="24"/>
      <c r="G159" s="24"/>
      <c r="H159" s="24"/>
      <c r="I159" s="24"/>
      <c r="J159" s="23" t="s">
        <v>519</v>
      </c>
      <c r="K159" s="939" t="s">
        <v>14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/>
      <c r="K163" s="919" t="str">
        <f>SW_nextcloud_EUR</f>
        <v>Request a quote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/>
      <c r="K164" s="920" t="str">
        <f>SW_suse_EUR</f>
        <v>Request a quote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139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524</v>
      </c>
      <c r="M169" s="664"/>
    </row>
    <row r="170" spans="2:18" ht="25" customHeight="1">
      <c r="B170" s="470" t="s">
        <v>9</v>
      </c>
      <c r="C170" s="23"/>
      <c r="D170" s="23"/>
      <c r="E170" s="24" t="s">
        <v>64</v>
      </c>
      <c r="F170" s="24"/>
      <c r="G170" s="24"/>
      <c r="H170" s="24"/>
      <c r="I170" s="24"/>
      <c r="J170" s="131"/>
      <c r="K170" s="939" t="s">
        <v>14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tr">
        <f>PAAS_man.kubernetes_EUR</f>
        <v>Request a quote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tr">
        <f>PAAS_man.postgres.sql_EUR</f>
        <v>Request a quote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729</v>
      </c>
      <c r="F173" s="30"/>
      <c r="G173" s="30"/>
      <c r="H173" s="30"/>
      <c r="I173" s="30"/>
      <c r="J173" s="40"/>
      <c r="K173" s="956" t="str">
        <f>PAAS_man.elasticsearch_EUR</f>
        <v>Request a quote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597</v>
      </c>
      <c r="F174" s="771"/>
      <c r="G174" s="771"/>
      <c r="H174" s="771"/>
      <c r="I174" s="771"/>
      <c r="J174" s="779"/>
      <c r="K174" s="941" t="str">
        <f>PAAS_openshift_EUR</f>
        <v>Request a quote</v>
      </c>
      <c r="M174" s="664"/>
      <c r="N174" s="742"/>
      <c r="O174" s="8"/>
    </row>
    <row r="175" spans="2:18" ht="25" customHeight="1">
      <c r="B175" s="134" t="s">
        <v>471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56" t="str">
        <f>PAAS_man.nats_EUR</f>
        <v>Request a quote</v>
      </c>
      <c r="M175" s="664"/>
      <c r="N175" s="742"/>
      <c r="O175" s="8"/>
    </row>
    <row r="176" spans="2:18" ht="25" customHeight="1">
      <c r="B176" s="137" t="s">
        <v>472</v>
      </c>
      <c r="C176" s="130"/>
      <c r="D176" s="38"/>
      <c r="E176" s="38" t="s">
        <v>150</v>
      </c>
      <c r="F176" s="771"/>
      <c r="G176" s="771"/>
      <c r="H176" s="771"/>
      <c r="I176" s="771"/>
      <c r="J176" s="779"/>
      <c r="K176" s="941" t="str">
        <f>PAAS_man.mariadb_EUR</f>
        <v>Request a quote</v>
      </c>
      <c r="M176" s="664"/>
      <c r="N176" s="742"/>
      <c r="O176" s="8"/>
    </row>
    <row r="177" spans="2:20" ht="25" customHeight="1">
      <c r="B177" s="134" t="s">
        <v>435</v>
      </c>
      <c r="C177" s="129"/>
      <c r="D177" s="30"/>
      <c r="E177" s="30" t="s">
        <v>144</v>
      </c>
      <c r="F177" s="30"/>
      <c r="G177" s="30"/>
      <c r="H177" s="30"/>
      <c r="I177" s="30"/>
      <c r="J177" s="40"/>
      <c r="K177" s="956" t="str">
        <f>PAAS_man.redis_EUR</f>
        <v>Request a quote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955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J180" s="740"/>
      <c r="K180" s="942"/>
      <c r="L180" s="742"/>
      <c r="M180" s="664"/>
      <c r="N180" s="675"/>
      <c r="O180" s="675"/>
    </row>
    <row r="181" spans="2:20" s="4" customFormat="1" ht="25" customHeight="1">
      <c r="B181" s="978" t="s">
        <v>525</v>
      </c>
      <c r="C181" s="978"/>
      <c r="D181" s="978"/>
      <c r="E181" s="978"/>
      <c r="F181" s="978"/>
      <c r="G181" s="978"/>
      <c r="H181" s="780"/>
      <c r="J181" s="674"/>
      <c r="K181" s="924"/>
      <c r="M181" s="664"/>
    </row>
    <row r="182" spans="2:20" s="4" customFormat="1" ht="25" customHeight="1">
      <c r="B182" s="978"/>
      <c r="C182" s="978"/>
      <c r="D182" s="978"/>
      <c r="E182" s="978"/>
      <c r="F182" s="978"/>
      <c r="G182" s="978"/>
      <c r="H182" s="780"/>
      <c r="J182" s="674"/>
      <c r="K182" s="924"/>
      <c r="M182" s="664"/>
    </row>
    <row r="183" spans="2:20" s="4" customFormat="1" ht="25" customHeight="1">
      <c r="B183" s="978"/>
      <c r="C183" s="978"/>
      <c r="D183" s="978"/>
      <c r="E183" s="978"/>
      <c r="F183" s="978"/>
      <c r="G183" s="978"/>
      <c r="H183" s="780"/>
      <c r="J183" s="674"/>
      <c r="K183" s="924"/>
      <c r="M183" s="664"/>
    </row>
    <row r="184" spans="2:20" s="4" customFormat="1" ht="25" customHeight="1">
      <c r="B184" s="999" t="s">
        <v>526</v>
      </c>
      <c r="C184" s="999"/>
      <c r="D184" s="999"/>
      <c r="E184" s="999"/>
      <c r="F184" s="999"/>
      <c r="H184" s="780"/>
      <c r="J184" s="674"/>
      <c r="K184" s="924"/>
      <c r="M184" s="664"/>
    </row>
    <row r="185" spans="2:20" s="4" customFormat="1" ht="25" customHeight="1">
      <c r="B185" s="994" t="s">
        <v>527</v>
      </c>
      <c r="C185" s="994"/>
      <c r="D185" s="994"/>
      <c r="E185" s="994"/>
      <c r="F185" s="994"/>
      <c r="G185" s="677"/>
      <c r="H185" s="678"/>
      <c r="I185" s="677"/>
      <c r="J185" s="679"/>
      <c r="K185" s="925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925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957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528</v>
      </c>
      <c r="M188" s="664"/>
    </row>
    <row r="189" spans="2:20" ht="25" customHeight="1">
      <c r="B189" s="470" t="s">
        <v>9</v>
      </c>
      <c r="C189" s="23"/>
      <c r="D189" s="24" t="s">
        <v>64</v>
      </c>
      <c r="E189" s="24"/>
      <c r="F189" s="24"/>
      <c r="G189" s="24"/>
      <c r="H189" s="24"/>
      <c r="I189" s="23" t="s">
        <v>519</v>
      </c>
      <c r="J189" s="23"/>
      <c r="K189" s="939" t="s">
        <v>14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529</v>
      </c>
      <c r="E190" s="40"/>
      <c r="F190" s="30"/>
      <c r="G190" s="40"/>
      <c r="H190" s="40"/>
      <c r="I190" s="775" t="s">
        <v>94</v>
      </c>
      <c r="J190" s="775"/>
      <c r="K190" s="940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665</v>
      </c>
      <c r="E191" s="31"/>
      <c r="F191" s="771"/>
      <c r="G191" s="779"/>
      <c r="H191" s="779"/>
      <c r="I191" s="773" t="s">
        <v>157</v>
      </c>
      <c r="J191" s="773"/>
      <c r="K191" s="941" t="s">
        <v>666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160</v>
      </c>
      <c r="E192" s="129"/>
      <c r="F192" s="129"/>
      <c r="G192" s="129"/>
      <c r="H192" s="40"/>
      <c r="I192" s="770" t="s">
        <v>161</v>
      </c>
      <c r="J192" s="770"/>
      <c r="K192" s="940" t="s">
        <v>380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955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941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531</v>
      </c>
      <c r="C195" s="878"/>
      <c r="D195" s="878"/>
      <c r="F195" s="878"/>
      <c r="G195" s="878"/>
      <c r="H195" s="878"/>
      <c r="I195" s="879"/>
      <c r="J195" s="879"/>
      <c r="K195" s="958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532</v>
      </c>
      <c r="M196" s="664"/>
    </row>
    <row r="197" spans="2:18" ht="25" customHeight="1">
      <c r="B197" s="470" t="s">
        <v>9</v>
      </c>
      <c r="C197" s="23"/>
      <c r="D197" s="24" t="s">
        <v>64</v>
      </c>
      <c r="E197" s="24"/>
      <c r="F197" s="24"/>
      <c r="G197" s="24"/>
      <c r="H197" s="24"/>
      <c r="I197" s="23" t="s">
        <v>519</v>
      </c>
      <c r="J197" s="23"/>
      <c r="K197" s="939" t="s">
        <v>14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161</v>
      </c>
      <c r="J198" s="770"/>
      <c r="K198" s="940">
        <f>PS_consult.jun_EUR</f>
        <v>100.303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161</v>
      </c>
      <c r="J199" s="773"/>
      <c r="K199" s="941">
        <f>PS_consult.sen_EUR</f>
        <v>122.28599999999999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161</v>
      </c>
      <c r="J200" s="770"/>
      <c r="K200" s="940">
        <f>PS_cloudarch.jun_EUR</f>
        <v>113.65299999999999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161</v>
      </c>
      <c r="J201" s="773"/>
      <c r="K201" s="941">
        <f>PS_cloudarch.sen_EUR</f>
        <v>122.28599999999999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161</v>
      </c>
      <c r="J202" s="770"/>
      <c r="K202" s="940">
        <f>PS_pm.jun_EUR</f>
        <v>101.371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161</v>
      </c>
      <c r="J203" s="773"/>
      <c r="K203" s="941">
        <f>PS_pm.sen_EUR</f>
        <v>122.28599999999999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955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941"/>
      <c r="M205" s="664"/>
      <c r="N205" s="742"/>
      <c r="O205" s="8"/>
    </row>
    <row r="206" spans="2:18" ht="25" customHeight="1">
      <c r="B206" s="649" t="s">
        <v>533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534</v>
      </c>
      <c r="M207" s="664"/>
    </row>
    <row r="208" spans="2:18" ht="25" customHeight="1">
      <c r="B208" s="470" t="s">
        <v>9</v>
      </c>
      <c r="C208" s="23"/>
      <c r="D208" s="24" t="s">
        <v>64</v>
      </c>
      <c r="E208" s="132"/>
      <c r="F208" s="24"/>
      <c r="G208" s="131" t="s">
        <v>178</v>
      </c>
      <c r="H208" s="23"/>
      <c r="I208" s="132" t="s">
        <v>519</v>
      </c>
      <c r="J208" s="23"/>
      <c r="K208" s="939" t="s">
        <v>179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182</v>
      </c>
      <c r="E209" s="40"/>
      <c r="F209" s="30"/>
      <c r="G209" s="40" t="s">
        <v>181</v>
      </c>
      <c r="H209" s="770"/>
      <c r="I209" s="905" t="s">
        <v>183</v>
      </c>
      <c r="J209" s="770"/>
      <c r="K209" s="940" t="s">
        <v>530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535</v>
      </c>
      <c r="E210" s="31"/>
      <c r="F210" s="771"/>
      <c r="G210" s="779" t="s">
        <v>181</v>
      </c>
      <c r="H210" s="773"/>
      <c r="I210" s="906" t="s">
        <v>183</v>
      </c>
      <c r="J210" s="773"/>
      <c r="K210" s="941" t="s">
        <v>530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536</v>
      </c>
      <c r="E211" s="40"/>
      <c r="F211" s="30"/>
      <c r="G211" s="40" t="s">
        <v>187</v>
      </c>
      <c r="H211" s="770"/>
      <c r="I211" s="905" t="s">
        <v>183</v>
      </c>
      <c r="J211" s="770"/>
      <c r="K211" s="940" t="s">
        <v>530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537</v>
      </c>
      <c r="E212" s="31"/>
      <c r="F212" s="771"/>
      <c r="G212" s="779" t="s">
        <v>187</v>
      </c>
      <c r="H212" s="773"/>
      <c r="I212" s="906" t="s">
        <v>183</v>
      </c>
      <c r="J212" s="773"/>
      <c r="K212" s="941" t="s">
        <v>530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955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943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9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9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997" t="s">
        <v>538</v>
      </c>
      <c r="C219" s="997"/>
      <c r="D219" s="997"/>
      <c r="E219" s="997"/>
      <c r="F219" s="997"/>
      <c r="G219" s="997"/>
      <c r="H219" s="666"/>
      <c r="I219" s="793"/>
      <c r="J219" s="3"/>
      <c r="K219" s="922"/>
      <c r="L219" s="3"/>
      <c r="M219" s="664"/>
    </row>
    <row r="220" spans="1:18" s="4" customFormat="1" ht="25" customHeight="1">
      <c r="A220" s="3"/>
      <c r="B220" s="997"/>
      <c r="C220" s="997"/>
      <c r="D220" s="997"/>
      <c r="E220" s="997"/>
      <c r="F220" s="997"/>
      <c r="G220" s="997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97"/>
      <c r="C221" s="997"/>
      <c r="D221" s="997"/>
      <c r="E221" s="997"/>
      <c r="F221" s="997"/>
      <c r="G221" s="997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998" t="s">
        <v>527</v>
      </c>
      <c r="C222" s="998"/>
      <c r="D222" s="998"/>
      <c r="E222" s="998"/>
      <c r="F222" s="998"/>
      <c r="G222" s="3"/>
      <c r="H222" s="666"/>
      <c r="I222" s="793"/>
      <c r="J222" s="3"/>
      <c r="K222" s="922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422" t="s">
        <v>539</v>
      </c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18" t="s">
        <v>540</v>
      </c>
      <c r="C225" s="62"/>
      <c r="D225" s="62"/>
      <c r="E225" s="62"/>
      <c r="F225" s="62"/>
      <c r="G225" s="3"/>
      <c r="H225" s="666"/>
      <c r="I225" s="3"/>
      <c r="J225" s="667"/>
      <c r="K225" s="922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9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9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541</v>
      </c>
      <c r="C228" s="56"/>
      <c r="D228" s="57"/>
      <c r="E228" s="56"/>
      <c r="F228" s="659"/>
      <c r="G228" s="659"/>
      <c r="H228" s="659"/>
      <c r="I228" s="56"/>
      <c r="J228" s="659" t="s">
        <v>538</v>
      </c>
      <c r="K228" s="9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 storage"</f>
        <v>0 vCPU     /     0 GB RAM     /     0 GB  NVMe     /     0 GB Block storage</v>
      </c>
      <c r="D229" s="71"/>
      <c r="E229" s="656"/>
      <c r="F229" s="656"/>
      <c r="G229" s="657"/>
      <c r="H229" s="800"/>
      <c r="I229" s="801"/>
      <c r="J229" s="967">
        <f>K66+K75+K57+K40+K84</f>
        <v>0</v>
      </c>
      <c r="K229" s="940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S3"&amp;"     /     "&amp;K95&amp;" TB - Archive"</f>
        <v>0 TB - S3     /     0 TB - Archive</v>
      </c>
      <c r="D230" s="658"/>
      <c r="E230" s="658"/>
      <c r="F230" s="802"/>
      <c r="G230" s="803"/>
      <c r="H230" s="803"/>
      <c r="I230" s="804"/>
      <c r="J230" s="968">
        <f>K97</f>
        <v>0</v>
      </c>
      <c r="K230" s="940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968">
        <f>K121</f>
        <v>0</v>
      </c>
      <c r="K231" s="940"/>
      <c r="L231" s="2"/>
      <c r="M231" s="664"/>
      <c r="N231" s="28"/>
    </row>
    <row r="232" spans="1:20" s="808" customFormat="1" ht="25" customHeight="1">
      <c r="A232" s="806"/>
      <c r="B232" s="916" t="s">
        <v>30</v>
      </c>
      <c r="C232" s="907"/>
      <c r="D232" s="907"/>
      <c r="E232" s="907"/>
      <c r="F232" s="907"/>
      <c r="G232" s="907"/>
      <c r="H232" s="907"/>
      <c r="I232" s="907"/>
      <c r="J232" s="969">
        <f>SUM(J229:J231)</f>
        <v>0</v>
      </c>
      <c r="K232" s="9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9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940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945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965"/>
    </row>
    <row r="237" spans="1:20" s="112" customFormat="1" ht="25" customHeight="1">
      <c r="B237" s="913" t="s">
        <v>508</v>
      </c>
      <c r="C237" s="108"/>
      <c r="D237" s="108"/>
      <c r="E237" s="108"/>
      <c r="F237" s="820"/>
      <c r="G237" s="821"/>
      <c r="H237" s="822"/>
      <c r="I237" s="822"/>
      <c r="J237" s="822"/>
      <c r="K237" s="966"/>
      <c r="L237" s="819"/>
      <c r="M237" s="819"/>
      <c r="N237" s="819"/>
    </row>
    <row r="238" spans="1:20" s="112" customFormat="1" ht="25" customHeight="1">
      <c r="B238" s="913" t="s">
        <v>509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4" t="s">
        <v>510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3" t="s">
        <v>667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5" t="s">
        <v>668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6"/>
      <c r="K266" s="966"/>
      <c r="M266" s="824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28" spans="2:4" ht="25" customHeight="1">
      <c r="B328" s="647"/>
      <c r="C328" s="38"/>
      <c r="D328" s="96"/>
    </row>
  </sheetData>
  <sheetProtection algorithmName="SHA-512" hashValue="ipgUkE/3UaUdh5BHXPzsvdC1lgHxPFAMXwlpQTT0EOK3PFB9ssmUWtKAaP1RwpbQbkYLJTEgCxnyrTgaMo0Dhg==" saltValue="Uvoo4yxIA4bm2D+2eh8sxA==" spinCount="100000" sheet="1" selectLockedCells="1"/>
  <mergeCells count="38">
    <mergeCell ref="B219:G221"/>
    <mergeCell ref="B222:F222"/>
    <mergeCell ref="C134:D134"/>
    <mergeCell ref="E134:F134"/>
    <mergeCell ref="B139:G141"/>
    <mergeCell ref="B181:G183"/>
    <mergeCell ref="B184:F184"/>
    <mergeCell ref="B185:F185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D103:E103"/>
    <mergeCell ref="F103:G103"/>
    <mergeCell ref="H103:I103"/>
    <mergeCell ref="D104:E104"/>
    <mergeCell ref="F104:G104"/>
    <mergeCell ref="H104:I104"/>
    <mergeCell ref="D100:E100"/>
    <mergeCell ref="F100:G100"/>
    <mergeCell ref="H100:I100"/>
    <mergeCell ref="D102:E102"/>
    <mergeCell ref="F102:G102"/>
    <mergeCell ref="H102:I102"/>
    <mergeCell ref="B70:E70"/>
    <mergeCell ref="B4:C4"/>
    <mergeCell ref="B15:G17"/>
    <mergeCell ref="B60:E60"/>
    <mergeCell ref="B87:G89"/>
  </mergeCells>
  <phoneticPr fontId="2" type="noConversion"/>
  <conditionalFormatting sqref="I26:I39 K26:K39 I47:I56 K47:K56 I62:I65 K62:K65 I72:I74 K72:K74 I81:I83 K81:K83 I95:I96 K95:K96 I118:I120 K118:K120 J119:J120">
    <cfRule type="cellIs" dxfId="10" priority="1" operator="greaterThan">
      <formula>0</formula>
    </cfRule>
  </conditionalFormatting>
  <hyperlinks>
    <hyperlink ref="B10:C10" r:id="rId1" display="    E-mail: sales@safespring.se" xr:uid="{AF596F7A-7485-9D44-8B9E-C603F3241F2A}"/>
    <hyperlink ref="B10" r:id="rId2" xr:uid="{99FB97A1-18CC-B14E-959C-0C5B6E04A505}"/>
    <hyperlink ref="B226" r:id="rId3" xr:uid="{6B8AA54A-8E32-8649-8356-449E61CCCA17}"/>
    <hyperlink ref="B60" location="'SEK - Safesprings tjänster 2022'!I83" display="Central blocklagring kan köpas till insatserna. Se &quot;Central blocklagring&quot; i prislistan." xr:uid="{A4C2B3CF-8BEE-5740-BA6F-162B149EE301}"/>
    <hyperlink ref="B60:E60" location="'SEK - Safesprings tjänster 2022'!I81" display="Central blocklagring kan köpas till insatserna. Se &quot;Central blocklagring&quot; i prislistan." xr:uid="{E2509B12-705A-F943-AAEF-F27E4BBBDB2A}"/>
    <hyperlink ref="B70" location="'SEK - Safesprings tjänster 2022'!I83" display="Central blocklagring kan köpas till insatserna. Se &quot;Central blocklagring&quot; i prislistan." xr:uid="{F7BFBDFC-145B-7E4B-82D8-14A9D1DA5D9B}"/>
    <hyperlink ref="B70:E70" location="'SEK - Safesprings tjänster 2022'!I81" display="Central blocklagring kan köpas till insatserna. Se &quot;Central blocklagring&quot; i prislistan." xr:uid="{0FDE427A-F7CB-9E44-9F05-9AA7CB8D1FC2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6"/>
  <sheetViews>
    <sheetView topLeftCell="A43" zoomScale="120" zoomScaleNormal="120" workbookViewId="0">
      <selection activeCell="J56" sqref="J56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349</v>
      </c>
      <c r="E2" s="117" t="s">
        <v>350</v>
      </c>
      <c r="F2" s="117" t="s">
        <v>351</v>
      </c>
      <c r="G2" s="482" t="s">
        <v>352</v>
      </c>
      <c r="I2" s="116" t="s">
        <v>353</v>
      </c>
      <c r="J2" s="117"/>
      <c r="K2" s="117"/>
    </row>
    <row r="3" spans="2:14" s="50" customFormat="1" ht="30" customHeight="1">
      <c r="B3" s="128" t="s">
        <v>354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355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351</v>
      </c>
      <c r="K4" s="455">
        <v>8.8999999999999996E-2</v>
      </c>
    </row>
    <row r="5" spans="2:14" s="50" customFormat="1" ht="30" customHeight="1">
      <c r="B5" s="128" t="s">
        <v>356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259</v>
      </c>
      <c r="J5" s="47"/>
      <c r="K5" s="456">
        <v>1</v>
      </c>
    </row>
    <row r="6" spans="2:14" s="50" customFormat="1" ht="30" customHeight="1">
      <c r="B6" s="84" t="s">
        <v>357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358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359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360</v>
      </c>
      <c r="J8" s="119" t="s">
        <v>361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362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363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338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364</v>
      </c>
      <c r="C13" s="116"/>
      <c r="D13" s="117" t="s">
        <v>349</v>
      </c>
      <c r="E13" s="117" t="s">
        <v>203</v>
      </c>
      <c r="F13" s="117" t="s">
        <v>351</v>
      </c>
      <c r="G13" s="482" t="s">
        <v>365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349</v>
      </c>
      <c r="E18" s="117" t="s">
        <v>203</v>
      </c>
      <c r="F18" s="117" t="s">
        <v>351</v>
      </c>
      <c r="G18" s="482" t="s">
        <v>365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349</v>
      </c>
      <c r="E22" s="117" t="s">
        <v>203</v>
      </c>
      <c r="F22" s="117" t="s">
        <v>351</v>
      </c>
      <c r="G22" s="482" t="s">
        <v>365</v>
      </c>
    </row>
    <row r="23" spans="2:7" ht="30" customHeight="1">
      <c r="B23" s="128" t="s">
        <v>366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367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368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369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370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349</v>
      </c>
      <c r="E29" s="117" t="s">
        <v>203</v>
      </c>
      <c r="F29" s="117" t="s">
        <v>351</v>
      </c>
      <c r="G29" s="482" t="s">
        <v>365</v>
      </c>
    </row>
    <row r="30" spans="2:7" ht="30" customHeight="1">
      <c r="B30" s="128" t="s">
        <v>371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372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373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374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375</v>
      </c>
      <c r="C34" s="44"/>
      <c r="D34" s="401" t="s">
        <v>376</v>
      </c>
      <c r="E34" s="151" t="str">
        <f>D34</f>
        <v>Be om offert</v>
      </c>
      <c r="F34" s="601" t="s">
        <v>380</v>
      </c>
      <c r="G34" s="484" t="str">
        <f>S3_storage.quote_SEK</f>
        <v>Be om offert</v>
      </c>
    </row>
    <row r="35" spans="2:7" ht="30" customHeight="1">
      <c r="B35" s="526" t="s">
        <v>410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411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412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413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414</v>
      </c>
      <c r="C39" s="83"/>
      <c r="D39" s="401" t="s">
        <v>376</v>
      </c>
      <c r="E39" s="149" t="str">
        <f>D39</f>
        <v>Be om offert</v>
      </c>
      <c r="F39" s="602" t="s">
        <v>380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377</v>
      </c>
      <c r="C41" s="116"/>
      <c r="D41" s="117" t="s">
        <v>349</v>
      </c>
      <c r="E41" s="117" t="s">
        <v>203</v>
      </c>
      <c r="F41" s="117" t="s">
        <v>351</v>
      </c>
      <c r="G41" s="482" t="s">
        <v>365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918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245</v>
      </c>
      <c r="E46" s="151" t="str">
        <f>D46</f>
        <v>Begär offert</v>
      </c>
      <c r="F46" s="611" t="s">
        <v>380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245</v>
      </c>
      <c r="E48" s="151" t="str">
        <f>D48</f>
        <v>Begär offert</v>
      </c>
      <c r="F48" s="152" t="s">
        <v>380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378</v>
      </c>
      <c r="C51" s="116"/>
      <c r="D51" s="117" t="s">
        <v>349</v>
      </c>
      <c r="E51" s="117" t="s">
        <v>203</v>
      </c>
      <c r="F51" s="117" t="s">
        <v>351</v>
      </c>
      <c r="G51" s="482" t="s">
        <v>365</v>
      </c>
    </row>
    <row r="52" spans="2:7" ht="30" customHeight="1">
      <c r="B52" s="128" t="s">
        <v>379</v>
      </c>
      <c r="C52" s="44"/>
      <c r="D52" s="143">
        <v>175</v>
      </c>
      <c r="E52" s="124">
        <f t="shared" ref="E52:E59" si="19">D52*SEK</f>
        <v>175</v>
      </c>
      <c r="F52" s="126">
        <f>D52*EUR</f>
        <v>15.574999999999999</v>
      </c>
      <c r="G52" s="484" t="s">
        <v>94</v>
      </c>
    </row>
    <row r="53" spans="2:7" ht="30" customHeight="1">
      <c r="B53" s="84" t="s">
        <v>126</v>
      </c>
      <c r="C53" s="83"/>
      <c r="D53" s="143">
        <v>1229</v>
      </c>
      <c r="E53" s="125">
        <f t="shared" si="19"/>
        <v>1229</v>
      </c>
      <c r="F53" s="127">
        <f>D53*EUR</f>
        <v>109.381</v>
      </c>
      <c r="G53" s="485" t="s">
        <v>94</v>
      </c>
    </row>
    <row r="54" spans="2:7" ht="30" customHeight="1">
      <c r="B54" s="128" t="s">
        <v>633</v>
      </c>
      <c r="C54" s="44"/>
      <c r="D54" s="143">
        <v>4766</v>
      </c>
      <c r="E54" s="124">
        <f t="shared" ref="E54" si="20">D54*SEK</f>
        <v>4766</v>
      </c>
      <c r="F54" s="126">
        <f>D54*EUR</f>
        <v>424.17399999999998</v>
      </c>
      <c r="G54" s="484" t="s">
        <v>94</v>
      </c>
    </row>
    <row r="55" spans="2:7" ht="30" customHeight="1">
      <c r="B55" s="84" t="s">
        <v>128</v>
      </c>
      <c r="C55" s="83"/>
      <c r="D55" s="143"/>
      <c r="E55" s="125" t="s">
        <v>245</v>
      </c>
      <c r="F55" s="127" t="s">
        <v>380</v>
      </c>
      <c r="G55" s="485" t="s">
        <v>94</v>
      </c>
    </row>
    <row r="56" spans="2:7" ht="30" customHeight="1">
      <c r="B56" s="128" t="s">
        <v>130</v>
      </c>
      <c r="C56" s="44"/>
      <c r="D56" s="143"/>
      <c r="E56" s="124" t="s">
        <v>245</v>
      </c>
      <c r="F56" s="126" t="s">
        <v>380</v>
      </c>
      <c r="G56" s="484" t="s">
        <v>94</v>
      </c>
    </row>
    <row r="57" spans="2:7" ht="30" customHeight="1">
      <c r="B57" s="84" t="s">
        <v>381</v>
      </c>
      <c r="C57" s="83"/>
      <c r="D57" s="143"/>
      <c r="E57" s="125" t="s">
        <v>245</v>
      </c>
      <c r="F57" s="127" t="s">
        <v>380</v>
      </c>
      <c r="G57" s="485" t="s">
        <v>94</v>
      </c>
    </row>
    <row r="58" spans="2:7" ht="30" customHeight="1">
      <c r="B58" s="128" t="s">
        <v>134</v>
      </c>
      <c r="C58" s="44"/>
      <c r="D58" s="143"/>
      <c r="E58" s="124" t="s">
        <v>382</v>
      </c>
      <c r="F58" s="126" t="s">
        <v>383</v>
      </c>
      <c r="G58" s="484" t="s">
        <v>94</v>
      </c>
    </row>
    <row r="59" spans="2:7" ht="30" customHeight="1">
      <c r="B59" s="84" t="s">
        <v>136</v>
      </c>
      <c r="C59" s="83"/>
      <c r="D59" s="143">
        <v>400</v>
      </c>
      <c r="E59" s="125">
        <f t="shared" si="19"/>
        <v>400</v>
      </c>
      <c r="F59" s="127">
        <f>D59*EUR</f>
        <v>35.6</v>
      </c>
      <c r="G59" s="485" t="s">
        <v>94</v>
      </c>
    </row>
    <row r="60" spans="2:7" ht="30" customHeight="1">
      <c r="B60" s="460"/>
      <c r="C60" s="460"/>
      <c r="D60" s="461"/>
      <c r="E60" s="460"/>
      <c r="F60" s="460"/>
      <c r="G60" s="488"/>
    </row>
    <row r="61" spans="2:7" ht="30" customHeight="1">
      <c r="B61" s="118" t="s">
        <v>239</v>
      </c>
      <c r="C61" s="116"/>
      <c r="D61" s="117" t="s">
        <v>349</v>
      </c>
      <c r="E61" s="117" t="s">
        <v>203</v>
      </c>
      <c r="F61" s="117" t="s">
        <v>351</v>
      </c>
      <c r="G61" s="482" t="s">
        <v>365</v>
      </c>
    </row>
    <row r="62" spans="2:7" ht="30" customHeight="1">
      <c r="B62" s="128" t="s">
        <v>399</v>
      </c>
      <c r="C62" s="44"/>
      <c r="D62" s="143" t="s">
        <v>593</v>
      </c>
      <c r="E62" s="151" t="s">
        <v>245</v>
      </c>
      <c r="F62" s="152" t="s">
        <v>380</v>
      </c>
      <c r="G62" s="484" t="s">
        <v>94</v>
      </c>
    </row>
    <row r="63" spans="2:7" ht="30" customHeight="1">
      <c r="B63" s="84" t="s">
        <v>400</v>
      </c>
      <c r="C63" s="83"/>
      <c r="D63" s="143" t="s">
        <v>593</v>
      </c>
      <c r="E63" s="149" t="s">
        <v>245</v>
      </c>
      <c r="F63" s="602" t="s">
        <v>380</v>
      </c>
      <c r="G63" s="485" t="s">
        <v>94</v>
      </c>
    </row>
    <row r="64" spans="2:7" ht="30" customHeight="1">
      <c r="B64" s="128" t="s">
        <v>141</v>
      </c>
      <c r="C64" s="44"/>
      <c r="D64" s="143"/>
      <c r="E64" s="151" t="s">
        <v>245</v>
      </c>
      <c r="F64" s="152" t="s">
        <v>380</v>
      </c>
      <c r="G64" s="484" t="s">
        <v>94</v>
      </c>
    </row>
    <row r="65" spans="2:7" ht="30" customHeight="1">
      <c r="B65" s="84" t="s">
        <v>143</v>
      </c>
      <c r="C65" s="83"/>
      <c r="D65" s="143"/>
      <c r="E65" s="149" t="s">
        <v>245</v>
      </c>
      <c r="F65" s="150" t="s">
        <v>380</v>
      </c>
      <c r="G65" s="485" t="s">
        <v>94</v>
      </c>
    </row>
    <row r="66" spans="2:7" ht="30" customHeight="1">
      <c r="B66" s="128" t="s">
        <v>146</v>
      </c>
      <c r="C66" s="44"/>
      <c r="D66" s="143"/>
      <c r="E66" s="151" t="s">
        <v>245</v>
      </c>
      <c r="F66" s="152" t="s">
        <v>380</v>
      </c>
      <c r="G66" s="484" t="s">
        <v>94</v>
      </c>
    </row>
    <row r="67" spans="2:7" ht="30" customHeight="1">
      <c r="B67" s="84" t="s">
        <v>149</v>
      </c>
      <c r="C67" s="83"/>
      <c r="D67" s="143"/>
      <c r="E67" s="149" t="s">
        <v>245</v>
      </c>
      <c r="F67" s="150" t="s">
        <v>380</v>
      </c>
      <c r="G67" s="485" t="s">
        <v>94</v>
      </c>
    </row>
    <row r="68" spans="2:7" ht="30" customHeight="1">
      <c r="B68" s="128" t="s">
        <v>421</v>
      </c>
      <c r="C68" s="44"/>
      <c r="D68" s="143">
        <v>0</v>
      </c>
      <c r="E68" s="151" t="s">
        <v>245</v>
      </c>
      <c r="F68" s="152" t="s">
        <v>380</v>
      </c>
      <c r="G68" s="484" t="s">
        <v>94</v>
      </c>
    </row>
    <row r="69" spans="2:7" ht="30" customHeight="1">
      <c r="B69" s="460"/>
      <c r="C69" s="460"/>
      <c r="D69" s="461"/>
      <c r="E69" s="460"/>
      <c r="F69" s="460"/>
      <c r="G69" s="488"/>
    </row>
    <row r="70" spans="2:7" ht="30" customHeight="1">
      <c r="B70" s="118" t="s">
        <v>247</v>
      </c>
      <c r="C70" s="116"/>
      <c r="D70" s="117" t="s">
        <v>349</v>
      </c>
      <c r="E70" s="117" t="s">
        <v>203</v>
      </c>
      <c r="F70" s="117" t="s">
        <v>351</v>
      </c>
      <c r="G70" s="482" t="s">
        <v>365</v>
      </c>
    </row>
    <row r="71" spans="2:7" ht="30" customHeight="1">
      <c r="B71" s="128" t="s">
        <v>165</v>
      </c>
      <c r="C71" s="44"/>
      <c r="D71" s="143">
        <v>1127</v>
      </c>
      <c r="E71" s="435">
        <f>D71*SEK</f>
        <v>1127</v>
      </c>
      <c r="F71" s="438">
        <f t="shared" ref="F71:F76" si="21">D71*EUR</f>
        <v>100.303</v>
      </c>
      <c r="G71" s="484" t="s">
        <v>94</v>
      </c>
    </row>
    <row r="72" spans="2:7" ht="30" customHeight="1">
      <c r="B72" s="84" t="s">
        <v>167</v>
      </c>
      <c r="C72" s="83"/>
      <c r="D72" s="143">
        <v>1374</v>
      </c>
      <c r="E72" s="125">
        <f t="shared" ref="E72:E76" si="22">D72*SEK</f>
        <v>1374</v>
      </c>
      <c r="F72" s="439">
        <f t="shared" si="21"/>
        <v>122.28599999999999</v>
      </c>
      <c r="G72" s="485" t="s">
        <v>94</v>
      </c>
    </row>
    <row r="73" spans="2:7" ht="30" customHeight="1">
      <c r="B73" s="128" t="s">
        <v>169</v>
      </c>
      <c r="C73" s="44"/>
      <c r="D73" s="143">
        <v>1277</v>
      </c>
      <c r="E73" s="124">
        <f t="shared" si="22"/>
        <v>1277</v>
      </c>
      <c r="F73" s="440">
        <f t="shared" si="21"/>
        <v>113.65299999999999</v>
      </c>
      <c r="G73" s="484" t="s">
        <v>94</v>
      </c>
    </row>
    <row r="74" spans="2:7" ht="30" customHeight="1">
      <c r="B74" s="84" t="s">
        <v>171</v>
      </c>
      <c r="C74" s="83"/>
      <c r="D74" s="143">
        <v>1374</v>
      </c>
      <c r="E74" s="125">
        <f t="shared" si="22"/>
        <v>1374</v>
      </c>
      <c r="F74" s="439">
        <f t="shared" si="21"/>
        <v>122.28599999999999</v>
      </c>
      <c r="G74" s="485" t="s">
        <v>94</v>
      </c>
    </row>
    <row r="75" spans="2:7" ht="30" customHeight="1">
      <c r="B75" s="128" t="s">
        <v>173</v>
      </c>
      <c r="C75" s="44"/>
      <c r="D75" s="143">
        <v>1139</v>
      </c>
      <c r="E75" s="124">
        <f t="shared" si="22"/>
        <v>1139</v>
      </c>
      <c r="F75" s="440">
        <f t="shared" si="21"/>
        <v>101.371</v>
      </c>
      <c r="G75" s="484" t="s">
        <v>94</v>
      </c>
    </row>
    <row r="76" spans="2:7" ht="30" customHeight="1">
      <c r="B76" s="84" t="s">
        <v>175</v>
      </c>
      <c r="C76" s="83"/>
      <c r="D76" s="143">
        <v>1374</v>
      </c>
      <c r="E76" s="125">
        <f t="shared" si="22"/>
        <v>1374</v>
      </c>
      <c r="F76" s="439">
        <f t="shared" si="21"/>
        <v>122.28599999999999</v>
      </c>
      <c r="G76" s="485" t="s">
        <v>94</v>
      </c>
    </row>
  </sheetData>
  <sheetProtection selectLockedCells="1"/>
  <phoneticPr fontId="2" type="noConversion"/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9">
    <cfRule type="cellIs" dxfId="3" priority="25" operator="greaterThan">
      <formula>0</formula>
    </cfRule>
  </conditionalFormatting>
  <conditionalFormatting sqref="D62:D68">
    <cfRule type="cellIs" dxfId="2" priority="1" operator="greaterThan">
      <formula>0</formula>
    </cfRule>
  </conditionalFormatting>
  <conditionalFormatting sqref="D71:D76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8</vt:i4>
      </vt:variant>
      <vt:variant>
        <vt:lpstr>Namngivna områden</vt:lpstr>
      </vt:variant>
      <vt:variant>
        <vt:i4>170</vt:i4>
      </vt:variant>
    </vt:vector>
  </HeadingPairs>
  <TitlesOfParts>
    <vt:vector size="178" baseType="lpstr">
      <vt:lpstr>SEK - Safesprings tjänster 2024</vt:lpstr>
      <vt:lpstr>NOK - Safespring tjenester 2024</vt:lpstr>
      <vt:lpstr>EUR - Safespring services 2021</vt:lpstr>
      <vt:lpstr>NOK - Safesprings tjeneste 2021</vt:lpstr>
      <vt:lpstr>SUNET SEK - priser 2020</vt:lpstr>
      <vt:lpstr>DKK - Safespring-tjenester 2024</vt:lpstr>
      <vt:lpstr>EUR - Safespring services 2024</vt:lpstr>
      <vt:lpstr>Data</vt:lpstr>
      <vt:lpstr>'DKK - Safespring-tjenester 2024'!b2_list_Antal_instanser</vt:lpstr>
      <vt:lpstr>'EUR - Safespring services 2024'!b2_list_Antal_instanser</vt:lpstr>
      <vt:lpstr>'NOK - Safespring tjenester 2024'!b2_list_Antal_instanser</vt:lpstr>
      <vt:lpstr>b2_list_Antal_instanser</vt:lpstr>
      <vt:lpstr>'DKK - Safespring-tjenester 2024'!b2_list_ram</vt:lpstr>
      <vt:lpstr>'EUR - Safespring services 2024'!b2_list_ram</vt:lpstr>
      <vt:lpstr>'NOK - Safespring tjenester 2024'!b2_list_ram</vt:lpstr>
      <vt:lpstr>b2_list_ram</vt:lpstr>
      <vt:lpstr>'DKK - Safespring-tjenester 2024'!b2_list_vCPU</vt:lpstr>
      <vt:lpstr>'EUR - Safespring services 2024'!b2_list_vCPU</vt:lpstr>
      <vt:lpstr>'NOK - Safespring tjenester 2024'!b2_list_vCPU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SW_ms.sql.ser.ent_EUR</vt:lpstr>
      <vt:lpstr>SW_ms.sql.ser.ent_SEK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'DKK - Safespring-tjenester 2024'!Utskriftsområde</vt:lpstr>
      <vt:lpstr>'EUR - Safespring services 2021'!Utskriftsområde</vt:lpstr>
      <vt:lpstr>'EUR - Safespring services 2024'!Utskriftsområde</vt:lpstr>
      <vt:lpstr>'NOK - Safespring tjenester 2024'!Utskriftsområde</vt:lpstr>
      <vt:lpstr>'NOK - Safesprings tjeneste 2021'!Utskriftsområde</vt:lpstr>
      <vt:lpstr>'SEK - Safesprings tjänster 2024'!Utskriftsområde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2024-05-06T07:45:52Z</cp:lastPrinted>
  <dcterms:created xsi:type="dcterms:W3CDTF">2015-05-31T16:02:08Z</dcterms:created>
  <dcterms:modified xsi:type="dcterms:W3CDTF">2024-05-06T07:45:57Z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