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63D8DAFD-7C79-6845-9F91-F7A75D54F958}" xr6:coauthVersionLast="47" xr6:coauthVersionMax="47" xr10:uidLastSave="{00000000-0000-0000-0000-000000000000}"/>
  <workbookProtection workbookAlgorithmName="SHA-512" workbookHashValue="GMZGECRs9gE9j4GtVb81gkAe1Stt/220CjX3oe4Ol7DJkEfcKg2igJIbq605a/QVr9/qMbvD7pIVJqQbwMYibg==" workbookSaltValue="V2EQBqWVqwlZRkqKT46MJw==" workbookSpinCount="100000" lockStructure="1"/>
  <bookViews>
    <workbookView xWindow="0" yWindow="500" windowWidth="33600" windowHeight="205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2022'!$A$3:$L$247</definedName>
    <definedName name="_xlnm.Print_Area" localSheetId="3">'NOK - Safespring tjenester 2022'!$A$1:$L$248</definedName>
    <definedName name="_xlnm.Print_Area" localSheetId="4">'NOK - Safesprings tjeneste 2021'!$A$1:$N$305</definedName>
    <definedName name="_xlnm.Print_Area" localSheetId="0">'SEK - Safesprings tjänster 2022'!$A$1:$L$247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3" l="1"/>
  <c r="K165" i="12"/>
  <c r="K162" i="11"/>
  <c r="K163" i="11"/>
  <c r="K164" i="11"/>
  <c r="K162" i="3"/>
  <c r="K163" i="3"/>
  <c r="K164" i="3"/>
  <c r="C237" i="3" l="1"/>
  <c r="C238" i="12"/>
  <c r="C235" i="12" a="1"/>
  <c r="C235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7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4" i="11" a="1"/>
  <c r="C234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4" i="3" a="1"/>
  <c r="C234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5" i="3"/>
  <c r="K133" i="12"/>
  <c r="J238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7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7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6" i="12" l="1"/>
  <c r="K95" i="11"/>
  <c r="J235" i="11" s="1"/>
  <c r="C235" i="11"/>
  <c r="L174" i="8"/>
  <c r="K173" i="11"/>
  <c r="G132" i="11"/>
  <c r="L173" i="8"/>
  <c r="G131" i="11"/>
  <c r="K172" i="11"/>
  <c r="K95" i="12"/>
  <c r="J236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4" i="12" s="1"/>
  <c r="E75" i="4"/>
  <c r="K209" i="12" s="1"/>
  <c r="E74" i="4"/>
  <c r="K208" i="12" s="1"/>
  <c r="E73" i="4"/>
  <c r="K207" i="12" s="1"/>
  <c r="E72" i="4"/>
  <c r="K206" i="12" s="1"/>
  <c r="E71" i="4"/>
  <c r="K205" i="12" s="1"/>
  <c r="L198" i="8" l="1"/>
  <c r="K204" i="11"/>
  <c r="L202" i="8"/>
  <c r="K208" i="11"/>
  <c r="L201" i="8"/>
  <c r="K207" i="11"/>
  <c r="L197" i="8"/>
  <c r="K203" i="11"/>
  <c r="L200" i="8"/>
  <c r="K206" i="11"/>
  <c r="L199" i="8"/>
  <c r="K205" i="11"/>
  <c r="M191" i="10"/>
  <c r="M196" i="10"/>
  <c r="M192" i="10"/>
  <c r="K207" i="3"/>
  <c r="M195" i="10"/>
  <c r="K206" i="3"/>
  <c r="M194" i="10"/>
  <c r="K205" i="3"/>
  <c r="M193" i="10"/>
  <c r="K203" i="3"/>
  <c r="K204" i="3"/>
  <c r="K208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7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6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5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2" i="12"/>
  <c r="K161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F80" i="11" l="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5" i="12" s="1"/>
  <c r="J239" i="12" s="1"/>
  <c r="K82" i="11"/>
  <c r="J234" i="11" s="1"/>
  <c r="J238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6" i="3" s="1"/>
  <c r="K80" i="3"/>
  <c r="K79" i="3"/>
  <c r="F80" i="3"/>
  <c r="F79" i="3"/>
  <c r="K82" i="3" l="1"/>
  <c r="J234" i="3" s="1"/>
  <c r="J23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<sst xmlns="http://schemas.openxmlformats.org/spreadsheetml/2006/main" count="2205" uniqueCount="684">
  <si>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</si>
  <si>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</si>
  <si>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</si>
  <si>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</si>
  <si>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</si>
  <si>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</si>
  <si>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</si>
  <si>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</si>
  <si>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</si>
  <si>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</si>
  <si>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</si>
  <si>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</si>
  <si>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</si>
  <si>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</si>
  <si>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</si>
  <si>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</si>
  <si>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</si>
  <si>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</si>
  <si>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</si>
  <si>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</si>
  <si>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</si>
  <si>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</si>
  <si>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</si>
  <si>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</si>
  <si>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</si>
  <si>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</si>
  <si>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</si>
  <si>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</si>
  <si>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</si>
  <si>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</si>
  <si>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</si>
  <si>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</si>
  <si>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</si>
  <si>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</si>
  <si>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</si>
  <si>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</si>
  <si>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</si>
  <si>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</si>
  <si>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</si>
  <si>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</si>
  <si>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</si>
  <si>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</si>
  <si>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</si>
  <si>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</si>
  <si>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</si>
  <si>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</si>
  <si>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</si>
  <si>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</si>
  <si>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</si>
  <si>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</si>
  <si>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</si>
  <si>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</si>
  <si>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</si>
  <si>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</si>
  <si>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</si>
  <si>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</si>
  <si>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</si>
  <si>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</si>
  <si>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</si>
  <si>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</si>
  <si>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</si>
  <si>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</si>
  <si>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</si>
  <si>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</si>
  <si>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</si>
  <si>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</si>
  <si>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</si>
  <si>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</si>
  <si>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</si>
  <si>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</si>
  <si>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</si>
  <si>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</si>
  <si>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</si>
  <si>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</si>
  <si>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</si>
  <si>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</si>
  <si>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</si>
  <si>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</si>
  <si>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</si>
  <si>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</si>
  <si>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</si>
  <si>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</si>
  <si>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</si>
  <si>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</si>
  <si>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</si>
  <si>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</si>
  <si>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</si>
  <si>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</si>
  <si>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</si>
  <si>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</si>
  <si>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</si>
  <si>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</si>
  <si>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</si>
  <si>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</si>
  <si>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</si>
  <si>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</si>
  <si>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</si>
  <si>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</si>
  <si>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</si>
  <si>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</si>
  <si>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</si>
  <si>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</si>
  <si>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</si>
  <si>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</si>
  <si>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</si>
  <si>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</si>
  <si>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</si>
  <si>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</si>
  <si>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</si>
  <si>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</si>
  <si>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</si>
  <si>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</si>
  <si>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</si>
  <si>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</si>
  <si>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</si>
  <si>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</si>
  <si>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</si>
  <si>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</si>
  <si>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</si>
  <si>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</si>
  <si>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</si>
  <si>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</si>
  <si>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</si>
  <si>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</si>
  <si>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</si>
  <si>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</si>
  <si>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</si>
  <si>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</si>
  <si>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</si>
  <si>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</si>
  <si>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</si>
  <si>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</si>
  <si>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</si>
  <si>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</si>
  <si>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</si>
  <si>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</si>
  <si>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</si>
  <si>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</si>
  <si>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</si>
  <si>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</si>
  <si>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</si>
  <si>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</si>
  <si>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</si>
  <si>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</si>
  <si>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</si>
  <si>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</si>
  <si>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</si>
  <si>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</si>
  <si>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</si>
  <si>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</si>
  <si>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</si>
  <si>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</si>
  <si>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</si>
  <si>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</si>
  <si>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</si>
  <si>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</si>
  <si>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</si>
  <si>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</si>
  <si>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</si>
  <si>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</si>
  <si>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</si>
  <si>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</si>
  <si>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</si>
  <si>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</si>
  <si>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</si>
  <si>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</si>
  <si>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</si>
  <si>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</si>
  <si>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</si>
  <si>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</si>
  <si>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</si>
  <si>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</si>
  <si>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</si>
  <si>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</si>
  <si>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</si>
  <si>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</si>
  <si>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</si>
  <si>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</si>
  <si>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</si>
  <si>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</si>
  <si>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</si>
  <si>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</si>
  <si>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</si>
  <si>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</si>
  <si>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</si>
  <si>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</si>
  <si>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</si>
  <si>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</si>
  <si>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</si>
  <si>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</si>
  <si>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</si>
  <si>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</si>
  <si>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</si>
  <si>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</si>
  <si>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</si>
  <si>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</si>
  <si>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</si>
  <si>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</si>
  <si>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</si>
  <si>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</si>
  <si>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</si>
  <si>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</si>
  <si>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</si>
  <si>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</si>
  <si>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</si>
  <si>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</si>
  <si>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</si>
  <si>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</si>
  <si>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</si>
  <si>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</si>
  <si>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</si>
  <si>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</si>
  <si>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</si>
  <si>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</si>
  <si>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</si>
  <si>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</si>
  <si>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</si>
  <si>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</si>
  <si>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</si>
  <si>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</si>
  <si>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</si>
  <si>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</si>
  <si>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</si>
  <si>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</si>
  <si>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</si>
  <si>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</si>
  <si>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</si>
  <si>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</si>
  <si>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</si>
  <si>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</si>
  <si>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</si>
  <si>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</si>
  <si>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</si>
  <si>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</si>
  <si>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</si>
  <si>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</si>
  <si>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</si>
  <si>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</si>
  <si>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</si>
  <si>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</si>
  <si>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</si>
  <si>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</si>
  <si>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</si>
  <si>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</si>
  <si>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</si>
  <si>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</si>
  <si>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</si>
  <si>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</si>
  <si>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</si>
  <si>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</si>
  <si>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</si>
  <si>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</si>
  <si>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</si>
  <si>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</si>
  <si>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</si>
  <si>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</si>
  <si>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</si>
  <si>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</si>
  <si>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</si>
  <si>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</si>
  <si>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</si>
  <si>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</si>
  <si>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</si>
  <si>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</si>
  <si>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</si>
  <si>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</si>
  <si>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</si>
  <si>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</si>
  <si>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</si>
  <si>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</si>
  <si>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</si>
  <si>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</si>
  <si>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</si>
  <si>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</si>
  <si>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</si>
  <si>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</si>
  <si>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</si>
  <si>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</si>
  <si>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</si>
  <si>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</si>
  <si>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</si>
  <si>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</si>
  <si>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</si>
  <si>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</si>
  <si>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</si>
  <si>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</si>
  <si>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</si>
  <si>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</si>
  <si>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</si>
  <si>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</si>
  <si>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</si>
  <si>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</si>
  <si>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</si>
  <si>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</si>
  <si>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</si>
  <si>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</si>
  <si>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</si>
  <si>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</si>
  <si>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</si>
  <si>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</si>
  <si>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</si>
  <si>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</si>
  <si>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</si>
  <si>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</si>
  <si>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</si>
  <si>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</si>
  <si>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</si>
  <si>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</si>
  <si>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</si>
  <si>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</si>
  <si>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</si>
  <si>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</si>
  <si>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</si>
  <si>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</si>
  <si>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</si>
  <si>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</si>
  <si>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</si>
  <si>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</si>
  <si>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</si>
  <si>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</si>
  <si>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</si>
  <si>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</si>
  <si>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</si>
  <si>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</si>
  <si>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</si>
  <si>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</si>
  <si>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</si>
  <si>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</si>
  <si>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</si>
  <si>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</si>
  <si>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</si>
  <si>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</si>
  <si>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</si>
  <si>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</si>
  <si>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</si>
  <si>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</si>
  <si>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</si>
  <si>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</si>
  <si>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</si>
  <si>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</si>
  <si>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</si>
  <si>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</si>
  <si>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</si>
  <si>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</si>
  <si>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</si>
  <si>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</si>
  <si>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</si>
  <si>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</si>
  <si>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</si>
  <si>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</si>
  <si>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</si>
  <si>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</si>
  <si>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</si>
  <si>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</si>
  <si>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</si>
  <si>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</si>
  <si>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</si>
  <si>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</si>
  <si>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</si>
  <si>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</si>
  <si>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</si>
  <si>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</si>
  <si>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</si>
  <si>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</si>
  <si>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</si>
  <si>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</si>
  <si>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</si>
  <si>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</si>
  <si>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</si>
  <si>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</si>
  <si>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</si>
  <si>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</si>
  <si>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</si>
  <si>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</si>
  <si>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</si>
  <si>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</si>
  <si>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</si>
  <si>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</si>
  <si>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</si>
  <si>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</si>
  <si>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</si>
  <si>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</si>
  <si>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</si>
  <si>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</si>
  <si>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</si>
  <si>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</si>
  <si>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</si>
  <si>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</si>
  <si>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</si>
  <si>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</si>
  <si>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</si>
  <si>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</si>
  <si>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</si>
  <si>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</si>
  <si>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</si>
  <si>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</si>
  <si>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</si>
  <si>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</si>
  <si>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</si>
  <si>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</si>
  <si>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</si>
  <si>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</si>
  <si>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</si>
  <si>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</si>
  <si>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</si>
  <si>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</si>
  <si>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</si>
  <si>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</si>
  <si>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</si>
  <si>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</si>
  <si>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</si>
  <si>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</si>
  <si>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</si>
  <si>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</si>
  <si>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</si>
  <si>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</si>
  <si>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</si>
  <si>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</si>
  <si>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</si>
  <si>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</si>
  <si>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</si>
  <si>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</si>
  <si>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</si>
  <si>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</si>
  <si>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</si>
  <si>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</si>
  <si>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</si>
  <si>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</si>
  <si>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</si>
  <si>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</si>
  <si>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</si>
  <si>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</si>
  <si>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</si>
  <si>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</si>
  <si>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</si>
  <si>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</si>
  <si>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</si>
  <si>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</si>
  <si>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</si>
  <si>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</si>
  <si>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</si>
  <si>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</si>
  <si>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</si>
  <si>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</si>
  <si>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</si>
  <si>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</si>
  <si>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</si>
  <si>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</si>
  <si>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</si>
  <si>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</si>
  <si>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</si>
  <si>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</si>
  <si>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</si>
  <si>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</si>
  <si>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</si>
  <si>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</si>
  <si>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</si>
  <si>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</si>
  <si>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</si>
  <si>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</si>
  <si>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</si>
  <si>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</si>
  <si>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</si>
  <si>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</si>
  <si>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</si>
  <si>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</si>
  <si>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</si>
  <si>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</si>
  <si>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</si>
  <si>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</si>
  <si>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</si>
  <si>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</si>
  <si>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</si>
  <si>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</si>
  <si>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</si>
  <si>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</si>
  <si>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</si>
  <si>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</si>
  <si>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</si>
  <si>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</si>
  <si>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</si>
  <si>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</si>
  <si>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</si>
  <si>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</si>
  <si>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</si>
  <si>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</si>
  <si>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</si>
  <si>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</si>
  <si>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</si>
  <si>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</si>
  <si>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</si>
  <si>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</si>
  <si>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</si>
  <si>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</si>
  <si>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</si>
  <si>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</si>
  <si>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</si>
  <si>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</si>
  <si>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</si>
  <si>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</si>
  <si>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</si>
  <si>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</si>
  <si>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</si>
  <si>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</si>
  <si>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</si>
  <si>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</si>
  <si>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</si>
  <si>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</si>
  <si>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</si>
  <si>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</si>
  <si>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</si>
  <si>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</si>
  <si>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</si>
  <si>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</si>
  <si>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</si>
  <si>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</si>
  <si>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</si>
  <si>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</si>
  <si>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</si>
  <si>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</si>
  <si>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</si>
  <si>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</si>
  <si>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</si>
  <si>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</si>
  <si>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</si>
  <si>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</si>
  <si>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</si>
  <si>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</si>
  <si>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</si>
  <si>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</si>
  <si>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</si>
  <si>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</si>
  <si>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</si>
  <si>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</si>
  <si>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</si>
  <si>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</si>
  <si>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</si>
  <si>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</si>
  <si>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</si>
  <si>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</si>
  <si>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</si>
  <si>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</si>
  <si>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</si>
  <si>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</si>
  <si>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</si>
  <si>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</si>
  <si>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</si>
  <si>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</si>
  <si>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</si>
  <si>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</si>
  <si>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</si>
  <si>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</si>
  <si>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</si>
  <si>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</si>
  <si>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</si>
  <si>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</si>
  <si>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</si>
  <si>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</si>
  <si>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</si>
  <si>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</si>
  <si>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</si>
  <si>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</si>
  <si>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</si>
  <si>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</si>
  <si>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</si>
  <si>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</si>
  <si>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</si>
  <si>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</si>
  <si>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</si>
  <si>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</si>
  <si>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</si>
  <si>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</si>
  <si>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</si>
  <si>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</si>
  <si>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</si>
  <si>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</si>
  <si>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</si>
  <si>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</si>
  <si>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</si>
  <si>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</si>
  <si>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</si>
  <si>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</si>
  <si>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</si>
  <si>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</si>
  <si>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</si>
  <si>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</si>
  <si>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</si>
  <si>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</si>
  <si>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</si>
  <si>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</si>
  <si>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</si>
  <si>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</si>
  <si>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</si>
  <si>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</si>
  <si>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</si>
  <si>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</si>
  <si>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</si>
  <si>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</si>
  <si>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</si>
  <si>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</si>
  <si>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</si>
  <si>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</si>
  <si>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</si>
  <si>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</si>
  <si>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</si>
  <si>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</si>
  <si>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</si>
  <si>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</si>
  <si>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</si>
  <si>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</si>
  <si>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</si>
  <si>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</si>
  <si>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</si>
  <si>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</si>
  <si>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</si>
  <si>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</si>
  <si>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</si>
  <si>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</si>
  <si>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</si>
  <si>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</si>
  <si>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</si>
  <si>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</si>
  <si>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</si>
  <si>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</si>
  <si>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</si>
  <si>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</si>
  <si>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</si>
  <si>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</si>
  <si>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</si>
  <si>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</si>
  <si>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</si>
  <si>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</si>
  <si>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</si>
  <si>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</si>
  <si>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</si>
  <si>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</si>
  <si>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</si>
  <si>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</si>
  <si>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</si>
  <si>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</si>
  <si>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</si>
  <si>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</si>
  <si>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</si>
  <si>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</si>
  <si>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</si>
  <si>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</si>
  <si>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</si>
  <si>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</si>
  <si>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</si>
  <si>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</si>
  <si>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</si>
  <si>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</si>
  <si>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</si>
  <si>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</si>
  <si>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</si>
  <si>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</si>
  <si>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</si>
  <si>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</si>
  <si>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</si>
  <si>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</si>
  <si>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</si>
  <si>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</si>
  <si>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</si>
  <si>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</si>
  <si>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</si>
  <si>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</si>
  <si>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</si>
  <si>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</si>
  <si>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</si>
  <si>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</si>
  <si>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</si>
  <si>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</si>
  <si>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>Small Tenancy (minst 36 månder)</t>
  </si>
  <si>
    <t>Per User Tenancy (minst 12 månader)</t>
  </si>
  <si>
    <t>Compute Small Tenancy (minst 36 månader)</t>
  </si>
  <si>
    <t xml:space="preserve"> </t>
  </si>
  <si>
    <t>1-5 Users Basic Notebook (minst 18 månader)</t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</si>
  <si>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safespring.efss.small</t>
    </r>
  </si>
  <si>
    <r>
      <t>PAAS-</t>
    </r>
    <r>
      <rPr>
        <sz val="11"/>
        <color theme="1"/>
        <rFont val="Montserrat Medium"/>
      </rPr>
      <t>stackn.jupyter.small</t>
    </r>
  </si>
  <si>
    <r>
      <t>PAAS-</t>
    </r>
    <r>
      <rPr>
        <sz val="11"/>
        <color theme="1"/>
        <rFont val="Montserrat Medium"/>
      </rPr>
      <t>safespring.efss.user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</si>
  <si>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stackn.jupyter.user</t>
    </r>
  </si>
  <si>
    <t>Priskalkylator 2022-12-16</t>
  </si>
  <si>
    <t>Price calculator 2022-12-16</t>
  </si>
  <si>
    <t>Priskalkulator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</si>
</sst>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73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6" fontId="6" fillId="0" borderId="0" xfId="0" applyNumberFormat="1" applyFont="1" applyAlignment="1" applyProtection="1">
      <alignment horizontal="right" vertical="center" readingOrder="1"/>
      <protection hidden="1"/>
    </xf>
    <xf numFmtId="0" fontId="60" fillId="4" borderId="0" xfId="0" applyFont="1" applyFill="1" applyAlignment="1" applyProtection="1">
      <alignment horizontal="left" vertical="center" indent="1" readingOrder="1"/>
      <protection hidden="1"/>
    </xf>
    <xf numFmtId="0" fontId="60" fillId="0" borderId="0" xfId="0" applyFont="1" applyAlignment="1" applyProtection="1">
      <alignment horizontal="left" vertical="center" indent="1" readingOrder="1"/>
      <protection hidden="1"/>
    </xf>
    <xf numFmtId="182" fontId="6" fillId="4" borderId="0" xfId="0" applyNumberFormat="1" applyFont="1" applyFill="1" applyAlignment="1" applyProtection="1">
      <alignment horizontal="right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4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681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658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407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408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651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2"/>
      <c r="I25" s="693" t="s">
        <v>212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9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9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9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9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9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9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9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9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9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9" s="653" customFormat="1" ht="25" customHeight="1">
      <c r="B42" s="654" t="s">
        <v>449</v>
      </c>
      <c r="C42" s="652"/>
      <c r="D42" s="652"/>
      <c r="K42" s="852"/>
      <c r="M42" s="670"/>
    </row>
    <row r="43" spans="2:19" ht="25" customHeight="1">
      <c r="B43" s="968" t="s">
        <v>651</v>
      </c>
      <c r="C43" s="968"/>
      <c r="D43" s="968"/>
      <c r="E43" s="968"/>
      <c r="M43" s="670"/>
    </row>
    <row r="44" spans="2:19" s="712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1"/>
      <c r="I44" s="693" t="s">
        <v>212</v>
      </c>
      <c r="J44" s="692"/>
      <c r="K44" s="847" t="s">
        <v>215</v>
      </c>
      <c r="M44" s="670"/>
      <c r="O44" s="13"/>
      <c r="P44" s="713"/>
      <c r="Q44" s="713"/>
      <c r="R44" s="713"/>
      <c r="S44" s="13"/>
    </row>
    <row r="45" spans="2:19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9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9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9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652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1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ref="G62:G63" si="7">H62/720</f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7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652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8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8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8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547</v>
      </c>
      <c r="M77" s="670"/>
    </row>
    <row r="78" spans="2:20" s="73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4" t="s">
        <v>66</v>
      </c>
      <c r="J78" s="24"/>
      <c r="K78" s="614" t="s">
        <v>534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0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659</v>
      </c>
      <c r="C85" s="951"/>
      <c r="D85" s="951"/>
      <c r="E85" s="951"/>
      <c r="F85" s="951"/>
      <c r="G85" s="951"/>
      <c r="H85" s="951"/>
      <c r="I85" s="951"/>
      <c r="J85" s="951"/>
      <c r="K85" s="951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951"/>
      <c r="I86" s="951"/>
      <c r="J86" s="951"/>
      <c r="K86" s="951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951"/>
      <c r="I87" s="951"/>
      <c r="J87" s="951"/>
      <c r="K87" s="951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34" t="s">
        <v>224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939" t="s">
        <v>656</v>
      </c>
      <c r="D93" s="939"/>
      <c r="E93" s="524"/>
      <c r="F93" s="754"/>
      <c r="G93" s="753">
        <f>S3_archive.50_SEK</f>
        <v>350</v>
      </c>
      <c r="H93" s="754"/>
      <c r="I93" s="755">
        <v>5</v>
      </c>
      <c r="J93" s="756"/>
      <c r="K93" s="631">
        <f>I93*G93</f>
        <v>1750</v>
      </c>
      <c r="L93" s="757"/>
      <c r="M93" s="670"/>
      <c r="N93" s="727"/>
    </row>
    <row r="94" spans="2:20" s="681" customFormat="1" ht="25" customHeight="1">
      <c r="B94" s="137" t="s">
        <v>494</v>
      </c>
      <c r="C94" s="41" t="s">
        <v>657</v>
      </c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0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1750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19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19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19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19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19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19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19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19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19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19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19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19" s="4" customFormat="1" ht="25" customHeight="1">
      <c r="B108" s="951" t="s">
        <v>666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19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19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3"/>
      <c r="H112" s="684"/>
      <c r="I112" s="683"/>
      <c r="J112" s="685"/>
      <c r="K112" s="844"/>
      <c r="L112" s="752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  <c r="Q113" s="681"/>
      <c r="R113" s="681"/>
      <c r="S113" s="681"/>
      <c r="T113" s="681"/>
      <c r="U113" s="681"/>
      <c r="X113" s="1"/>
      <c r="Y113" s="1"/>
      <c r="Z113" s="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228</v>
      </c>
      <c r="F115" s="775"/>
      <c r="G115" s="24" t="s">
        <v>618</v>
      </c>
      <c r="H115" s="24"/>
      <c r="I115" s="734" t="s">
        <v>90</v>
      </c>
      <c r="J115" s="734" t="s">
        <v>458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660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661</v>
      </c>
      <c r="C127" s="505"/>
      <c r="D127" s="505"/>
      <c r="E127" s="505"/>
      <c r="F127" s="505"/>
      <c r="H127" s="684"/>
      <c r="I127" s="683"/>
      <c r="J127" s="685"/>
      <c r="K127" s="844"/>
      <c r="L127" s="752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  <c r="Q128" s="681"/>
      <c r="R128" s="681"/>
      <c r="S128" s="681"/>
      <c r="T128" s="681"/>
      <c r="U128" s="681"/>
      <c r="X128" s="1"/>
      <c r="Y128" s="1"/>
      <c r="Z128" s="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445</v>
      </c>
      <c r="D130" s="952"/>
      <c r="E130" s="952" t="s">
        <v>446</v>
      </c>
      <c r="F130" s="952"/>
      <c r="G130" s="952" t="s">
        <v>228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444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443</v>
      </c>
      <c r="D132" s="959"/>
      <c r="E132" s="961" t="s">
        <v>447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234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8"/>
      <c r="J140" s="680"/>
      <c r="K140" s="843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6" t="s">
        <v>107</v>
      </c>
      <c r="K145" s="838">
        <f>NET_publicv4_SEK</f>
        <v>25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77"/>
      <c r="G146" s="777"/>
      <c r="H146" s="777"/>
      <c r="I146" s="777"/>
      <c r="J146" s="778" t="s">
        <v>94</v>
      </c>
      <c r="K146" s="556">
        <f>NET_publicv6_SEK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238</v>
      </c>
      <c r="D147" s="129"/>
      <c r="E147" s="39"/>
      <c r="F147" s="30"/>
      <c r="G147" s="30"/>
      <c r="H147" s="30"/>
      <c r="I147" s="30"/>
      <c r="J147" s="776" t="s">
        <v>69</v>
      </c>
      <c r="K147" s="838">
        <f>NET_ingress_SEK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77"/>
      <c r="G148" s="777"/>
      <c r="H148" s="777"/>
      <c r="I148" s="777"/>
      <c r="J148" s="778" t="s">
        <v>69</v>
      </c>
      <c r="K148" s="556">
        <f>NET_egress_SEK</f>
        <v>0.25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9" t="s">
        <v>411</v>
      </c>
      <c r="F149" s="30"/>
      <c r="G149" s="30"/>
      <c r="H149" s="30"/>
      <c r="I149" s="30"/>
      <c r="J149" s="776" t="s">
        <v>240</v>
      </c>
      <c r="K149" s="838" t="str">
        <f>NET_mgn.slb_SEK</f>
        <v>Begär offert</v>
      </c>
      <c r="M149" s="670"/>
    </row>
    <row r="150" spans="2:18" ht="25" customHeight="1">
      <c r="B150" s="137" t="s">
        <v>506</v>
      </c>
      <c r="C150" s="130" t="s">
        <v>121</v>
      </c>
      <c r="D150" s="130"/>
      <c r="E150" s="41"/>
      <c r="F150" s="777"/>
      <c r="G150" s="777"/>
      <c r="H150" s="777"/>
      <c r="I150" s="777"/>
      <c r="J150" s="778" t="s">
        <v>94</v>
      </c>
      <c r="K150" s="556">
        <v>0</v>
      </c>
      <c r="M150" s="670"/>
    </row>
    <row r="151" spans="2:18" ht="25" customHeight="1">
      <c r="B151" s="134" t="s">
        <v>505</v>
      </c>
      <c r="C151" s="129" t="s">
        <v>118</v>
      </c>
      <c r="D151" s="129"/>
      <c r="E151" s="39"/>
      <c r="F151" s="30"/>
      <c r="G151" s="30"/>
      <c r="H151" s="30"/>
      <c r="I151" s="30"/>
      <c r="J151" s="776" t="s">
        <v>94</v>
      </c>
      <c r="K151" s="838">
        <f>NET_rdns_SEK</f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838">
        <f>SW_win.ser.201X_SEK</f>
        <v>78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839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838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839">
        <f>SW_ms.sql.ser_SEK</f>
        <v>1498</v>
      </c>
      <c r="L161" s="746"/>
      <c r="M161" s="670"/>
      <c r="N161" s="748"/>
      <c r="O161" s="8"/>
      <c r="Q161" s="681"/>
      <c r="R161" s="681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838" t="str">
        <f>SW_nextcloud_SEK</f>
        <v>Begär offert</v>
      </c>
      <c r="L162" s="746"/>
      <c r="M162" s="670"/>
      <c r="N162" s="748"/>
      <c r="O162" s="8"/>
      <c r="Q162" s="681"/>
      <c r="R162" s="681"/>
    </row>
    <row r="163" spans="2:18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839" t="str">
        <f>SW_suse_SEK</f>
        <v>Begär offert</v>
      </c>
      <c r="L163" s="746"/>
      <c r="M163" s="670"/>
      <c r="N163" s="748"/>
      <c r="O163" s="8"/>
      <c r="Q163" s="681"/>
      <c r="R163" s="681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838" t="str">
        <f>SW_cluster.control_SEK</f>
        <v>3x instanspris</v>
      </c>
      <c r="L164" s="746"/>
      <c r="M164" s="670"/>
      <c r="N164" s="748"/>
      <c r="O164" s="8"/>
      <c r="Q164" s="681"/>
      <c r="R164" s="681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138</v>
      </c>
      <c r="K165" s="839">
        <f>SW_backup.ninja_SEK</f>
        <v>400</v>
      </c>
      <c r="L165" s="746"/>
      <c r="M165" s="670"/>
      <c r="N165" s="748"/>
      <c r="O165" s="8"/>
      <c r="Q165" s="681"/>
      <c r="R165" s="681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740">
        <f>PAAS_man.kubernetes_SEK</f>
        <v>24000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47">
        <f>PAAS_man.postgres.sql_SEK</f>
        <v>15000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740" t="str">
        <f>PAAS_man.elasticsearch_SEK</f>
        <v>Begär offert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77"/>
      <c r="G175" s="777"/>
      <c r="H175" s="777"/>
      <c r="I175" s="777"/>
      <c r="J175" s="785"/>
      <c r="K175" s="947">
        <f>PAAS_openshift_SEK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740" t="str">
        <f>PAAS_man.nats_SEK</f>
        <v>Begär offert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47" t="str">
        <f>PAAS_man.mariadb_SEK</f>
        <v>Begär offert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740" t="s">
        <v>248</v>
      </c>
      <c r="M178" s="670"/>
      <c r="N178" s="748"/>
      <c r="O178" s="8"/>
    </row>
    <row r="179" spans="2:20" ht="25" customHeight="1">
      <c r="B179" s="137" t="s">
        <v>677</v>
      </c>
      <c r="C179" s="130"/>
      <c r="D179" s="38"/>
      <c r="E179" s="38" t="s">
        <v>672</v>
      </c>
      <c r="F179" s="777"/>
      <c r="G179" s="777"/>
      <c r="H179" s="777"/>
      <c r="I179" s="777"/>
      <c r="J179" s="785"/>
      <c r="K179" s="947">
        <v>27990</v>
      </c>
      <c r="M179" s="670"/>
      <c r="N179" s="748"/>
      <c r="O179" s="8"/>
    </row>
    <row r="180" spans="2:20" ht="25" customHeight="1">
      <c r="B180" s="948" t="s">
        <v>679</v>
      </c>
      <c r="C180" s="129"/>
      <c r="D180" s="30"/>
      <c r="E180" s="30" t="s">
        <v>673</v>
      </c>
      <c r="F180" s="30"/>
      <c r="G180" s="30"/>
      <c r="H180" s="30"/>
      <c r="I180" s="30"/>
      <c r="J180" s="40"/>
      <c r="K180" s="740">
        <v>100</v>
      </c>
      <c r="M180" s="670"/>
      <c r="N180" s="748"/>
      <c r="O180" s="8"/>
    </row>
    <row r="181" spans="2:20" ht="25" customHeight="1">
      <c r="B181" s="949" t="s">
        <v>678</v>
      </c>
      <c r="C181" s="130"/>
      <c r="D181" s="38"/>
      <c r="E181" s="38" t="s">
        <v>674</v>
      </c>
      <c r="F181" s="777"/>
      <c r="G181" s="777"/>
      <c r="H181" s="777"/>
      <c r="I181" s="777" t="s">
        <v>675</v>
      </c>
      <c r="J181" s="785"/>
      <c r="K181" s="947">
        <v>22080</v>
      </c>
      <c r="M181" s="670"/>
      <c r="N181" s="748"/>
      <c r="O181" s="8"/>
    </row>
    <row r="182" spans="2:20" ht="25" customHeight="1">
      <c r="B182" s="134" t="s">
        <v>680</v>
      </c>
      <c r="C182" s="129"/>
      <c r="D182" s="30"/>
      <c r="E182" s="30" t="s">
        <v>676</v>
      </c>
      <c r="F182" s="30"/>
      <c r="G182" s="30"/>
      <c r="H182" s="30"/>
      <c r="I182" s="30"/>
      <c r="J182" s="40"/>
      <c r="K182" s="740">
        <v>4520</v>
      </c>
      <c r="M182" s="670"/>
      <c r="N182" s="748"/>
      <c r="O182" s="8"/>
    </row>
    <row r="183" spans="2:20" ht="25" customHeight="1">
      <c r="B183" s="106"/>
      <c r="C183" s="106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03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244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546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420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542</v>
      </c>
      <c r="M193" s="670"/>
    </row>
    <row r="194" spans="2:18" ht="25" customHeight="1">
      <c r="B194" s="470" t="s">
        <v>208</v>
      </c>
      <c r="C194" s="23"/>
      <c r="D194" s="23" t="s">
        <v>220</v>
      </c>
      <c r="E194" s="132"/>
      <c r="F194" s="24"/>
      <c r="G194" s="131"/>
      <c r="H194" s="131"/>
      <c r="I194" s="23" t="s">
        <v>236</v>
      </c>
      <c r="J194" s="23"/>
      <c r="K194" s="614" t="s">
        <v>92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421</v>
      </c>
      <c r="E195" s="40"/>
      <c r="F195" s="30"/>
      <c r="G195" s="40"/>
      <c r="H195" s="40"/>
      <c r="I195" s="781" t="s">
        <v>94</v>
      </c>
      <c r="J195" s="781"/>
      <c r="K195" s="557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245</v>
      </c>
      <c r="J196" s="779"/>
      <c r="K196" s="556" t="s">
        <v>537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247</v>
      </c>
      <c r="J197" s="776"/>
      <c r="K197" s="557" t="s">
        <v>248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250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543</v>
      </c>
      <c r="M201" s="670"/>
    </row>
    <row r="202" spans="2:18" ht="25" customHeight="1">
      <c r="B202" s="470" t="s">
        <v>208</v>
      </c>
      <c r="C202" s="23"/>
      <c r="D202" s="23" t="s">
        <v>220</v>
      </c>
      <c r="E202" s="132"/>
      <c r="F202" s="24"/>
      <c r="G202" s="131"/>
      <c r="H202" s="131"/>
      <c r="I202" s="23" t="s">
        <v>236</v>
      </c>
      <c r="J202" s="23"/>
      <c r="K202" s="614" t="s">
        <v>92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247</v>
      </c>
      <c r="J203" s="776"/>
      <c r="K203" s="631">
        <f>PS_consult.jun_SEK</f>
        <v>1127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247</v>
      </c>
      <c r="J204" s="779"/>
      <c r="K204" s="877">
        <f>PS_consult.sen_SEK</f>
        <v>1374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247</v>
      </c>
      <c r="J205" s="776"/>
      <c r="K205" s="631">
        <f>PS_cloudarch.jun_SEK</f>
        <v>1277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247</v>
      </c>
      <c r="J206" s="779"/>
      <c r="K206" s="877">
        <f>PS_cloudarch.sen_SEK</f>
        <v>1374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247</v>
      </c>
      <c r="J207" s="776"/>
      <c r="K207" s="631">
        <f>PS_pm.jun_SEK</f>
        <v>1139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247</v>
      </c>
      <c r="J208" s="779"/>
      <c r="K208" s="877">
        <f>PS_pm.sen_SEK</f>
        <v>1374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251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544</v>
      </c>
      <c r="M212" s="670"/>
    </row>
    <row r="213" spans="1:18" ht="25" customHeight="1">
      <c r="B213" s="470" t="s">
        <v>208</v>
      </c>
      <c r="C213" s="23"/>
      <c r="D213" s="23" t="s">
        <v>220</v>
      </c>
      <c r="E213" s="132"/>
      <c r="F213" s="24"/>
      <c r="G213" s="23" t="s">
        <v>252</v>
      </c>
      <c r="H213" s="23"/>
      <c r="I213" s="23" t="s">
        <v>236</v>
      </c>
      <c r="J213" s="23"/>
      <c r="K213" s="614" t="s">
        <v>92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253</v>
      </c>
      <c r="E214" s="40"/>
      <c r="F214" s="30"/>
      <c r="G214" s="776" t="s">
        <v>254</v>
      </c>
      <c r="H214" s="776"/>
      <c r="I214" s="776" t="s">
        <v>255</v>
      </c>
      <c r="J214" s="776"/>
      <c r="K214" s="557" t="s">
        <v>248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256</v>
      </c>
      <c r="E215" s="31"/>
      <c r="F215" s="777"/>
      <c r="G215" s="779" t="s">
        <v>254</v>
      </c>
      <c r="H215" s="779"/>
      <c r="I215" s="779" t="s">
        <v>255</v>
      </c>
      <c r="J215" s="779"/>
      <c r="K215" s="556" t="s">
        <v>248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257</v>
      </c>
      <c r="E216" s="40"/>
      <c r="F216" s="30"/>
      <c r="G216" s="776" t="s">
        <v>258</v>
      </c>
      <c r="H216" s="776"/>
      <c r="I216" s="776" t="s">
        <v>255</v>
      </c>
      <c r="J216" s="776"/>
      <c r="K216" s="557" t="s">
        <v>248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259</v>
      </c>
      <c r="E217" s="31"/>
      <c r="F217" s="777"/>
      <c r="G217" s="779" t="s">
        <v>258</v>
      </c>
      <c r="H217" s="779"/>
      <c r="I217" s="779" t="s">
        <v>255</v>
      </c>
      <c r="J217" s="779"/>
      <c r="K217" s="556" t="s">
        <v>248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260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420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532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202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533</v>
      </c>
      <c r="C233" s="56"/>
      <c r="D233" s="57"/>
      <c r="E233" s="56"/>
      <c r="F233" s="665"/>
      <c r="G233" s="665"/>
      <c r="H233" s="665"/>
      <c r="I233" s="56"/>
      <c r="J233" s="665" t="s">
        <v>260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666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Storage"&amp;"     /     "&amp;K93&amp;" TB - Archive"</f>
        <v>0 TB - Storage     /     1750 TB - Archive</v>
      </c>
      <c r="D235" s="663"/>
      <c r="E235" s="663"/>
      <c r="F235" s="808"/>
      <c r="G235" s="809"/>
      <c r="H235" s="809"/>
      <c r="I235" s="810"/>
      <c r="J235" s="667">
        <f>K95</f>
        <v>1750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667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IF(J131=1,"Fullt managerad tjänst - support vardagar 08:00-17:00",IF(J131=3,"Fullt managerad tjänst - support dygnet runt, alla dagar",""))</f>
        <v/>
      </c>
      <c r="D237" s="33"/>
      <c r="E237" s="34"/>
      <c r="F237" s="35"/>
      <c r="G237" s="812"/>
      <c r="H237" s="812"/>
      <c r="I237" s="763"/>
      <c r="J237" s="43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222</v>
      </c>
      <c r="C238" s="659"/>
      <c r="D238" s="660"/>
      <c r="E238" s="660"/>
      <c r="F238" s="815"/>
      <c r="G238" s="816"/>
      <c r="H238" s="816"/>
      <c r="I238" s="817"/>
      <c r="J238" s="668">
        <f>SUM(J234:J237)</f>
        <v>1750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454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455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456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457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670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1JgHfAQNGFT315bFAFv1V7sqnSlUUSceLOo2dZkt3RODibUSyGzaNmb3sSzdkkmsWlF9zNbotl7sa8uoWGDyAA==" saltValue="0Mx18llVOWMKvAT/1rqS8Q==" spinCount="100000" sheet="1" objects="1" scenarios="1" selectLockedCells="1"/>
  <mergeCells count="43">
    <mergeCell ref="B224:G226"/>
    <mergeCell ref="B227:F227"/>
    <mergeCell ref="B137:G139"/>
    <mergeCell ref="B186:G188"/>
    <mergeCell ref="B189:F189"/>
    <mergeCell ref="B190:F190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31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682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655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549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3"/>
      <c r="H20" s="684"/>
      <c r="I20" s="683"/>
      <c r="J20" s="685"/>
      <c r="K20" s="844"/>
      <c r="L20" s="752"/>
      <c r="M20" s="670"/>
      <c r="O20" s="681"/>
      <c r="P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73" t="s">
        <v>646</v>
      </c>
      <c r="C24" s="973"/>
      <c r="D24" s="973"/>
      <c r="E24" s="973"/>
      <c r="F24" s="973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2"/>
      <c r="I25" s="693" t="s">
        <v>554</v>
      </c>
      <c r="J25" s="692"/>
      <c r="K25" s="847" t="s">
        <v>17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898">
        <f t="shared" ref="F26:F37" si="0">G26/720</f>
        <v>6.133333333333333E-2</v>
      </c>
      <c r="G26" s="898">
        <f t="shared" ref="G26:G37" si="1">C26*IAAS_vcpu_EUR+D26*IAAS_ram_EUR+E26*IAAS_nvme_EUR</f>
        <v>44.16</v>
      </c>
      <c r="H26" s="44"/>
      <c r="I26" s="697"/>
      <c r="J26" s="44"/>
      <c r="K26" s="900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899">
        <f t="shared" si="0"/>
        <v>0.11244444444444443</v>
      </c>
      <c r="G27" s="899">
        <f t="shared" si="1"/>
        <v>80.959999999999994</v>
      </c>
      <c r="H27" s="46"/>
      <c r="I27" s="697"/>
      <c r="J27" s="46"/>
      <c r="K27" s="901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898">
        <f t="shared" si="0"/>
        <v>0.17633333333333331</v>
      </c>
      <c r="G28" s="898">
        <f t="shared" si="1"/>
        <v>126.96</v>
      </c>
      <c r="H28" s="44"/>
      <c r="I28" s="697"/>
      <c r="J28" s="44"/>
      <c r="K28" s="900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899">
        <f t="shared" si="0"/>
        <v>0.10988888888888887</v>
      </c>
      <c r="G29" s="899">
        <f t="shared" si="1"/>
        <v>79.11999999999999</v>
      </c>
      <c r="H29" s="46"/>
      <c r="I29" s="697"/>
      <c r="J29" s="46"/>
      <c r="K29" s="901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898">
        <f t="shared" si="0"/>
        <v>0.16099999999999998</v>
      </c>
      <c r="G30" s="898">
        <f t="shared" si="1"/>
        <v>115.91999999999999</v>
      </c>
      <c r="H30" s="44"/>
      <c r="I30" s="697"/>
      <c r="J30" s="44"/>
      <c r="K30" s="900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899">
        <f t="shared" si="0"/>
        <v>0.22488888888888886</v>
      </c>
      <c r="G31" s="899">
        <f t="shared" si="1"/>
        <v>161.91999999999999</v>
      </c>
      <c r="H31" s="46"/>
      <c r="I31" s="697"/>
      <c r="J31" s="46"/>
      <c r="K31" s="901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898">
        <f t="shared" si="0"/>
        <v>0.20699999999999996</v>
      </c>
      <c r="G32" s="898">
        <f t="shared" si="1"/>
        <v>149.03999999999996</v>
      </c>
      <c r="H32" s="44"/>
      <c r="I32" s="697"/>
      <c r="J32" s="44"/>
      <c r="K32" s="900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899">
        <f t="shared" si="0"/>
        <v>0.25811111111111107</v>
      </c>
      <c r="G33" s="899">
        <f t="shared" si="1"/>
        <v>185.83999999999997</v>
      </c>
      <c r="H33" s="46"/>
      <c r="I33" s="697"/>
      <c r="J33" s="46"/>
      <c r="K33" s="901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898">
        <f t="shared" si="0"/>
        <v>0.32199999999999995</v>
      </c>
      <c r="G34" s="898">
        <f t="shared" si="1"/>
        <v>231.83999999999997</v>
      </c>
      <c r="H34" s="44"/>
      <c r="I34" s="697"/>
      <c r="J34" s="44"/>
      <c r="K34" s="900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899">
        <f t="shared" si="0"/>
        <v>0.40122222222222215</v>
      </c>
      <c r="G35" s="899">
        <f t="shared" si="1"/>
        <v>288.87999999999994</v>
      </c>
      <c r="H35" s="46"/>
      <c r="I35" s="697"/>
      <c r="J35" s="46"/>
      <c r="K35" s="901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898">
        <f t="shared" si="0"/>
        <v>0.45233333333333325</v>
      </c>
      <c r="G36" s="898">
        <f t="shared" si="1"/>
        <v>325.67999999999995</v>
      </c>
      <c r="H36" s="44"/>
      <c r="I36" s="697"/>
      <c r="J36" s="44"/>
      <c r="K36" s="900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899">
        <f t="shared" si="0"/>
        <v>0.51622222222222214</v>
      </c>
      <c r="G37" s="899">
        <f t="shared" si="1"/>
        <v>371.67999999999995</v>
      </c>
      <c r="H37" s="46"/>
      <c r="I37" s="697"/>
      <c r="J37" s="46"/>
      <c r="K37" s="901">
        <f t="shared" si="2"/>
        <v>0</v>
      </c>
      <c r="M37" s="670"/>
      <c r="P37" s="687"/>
      <c r="R37" s="687"/>
    </row>
    <row r="38" spans="2:18" s="883" customFormat="1" ht="25" customHeight="1">
      <c r="B38" s="879" t="s">
        <v>30</v>
      </c>
      <c r="C38" s="880" cm="1">
        <f t="array" ref="C38">SUM(C26:C37*I26:I37)</f>
        <v>0</v>
      </c>
      <c r="D38" s="880" cm="1">
        <f t="array" ref="D38">SUM(D26:D37*I26:I37)</f>
        <v>0</v>
      </c>
      <c r="E38" s="903" cm="1">
        <f t="array" ref="E38">SUM(E26:E37*I26:I37)</f>
        <v>0</v>
      </c>
      <c r="F38" s="880"/>
      <c r="G38" s="880"/>
      <c r="H38" s="880"/>
      <c r="I38" s="880">
        <f>SUM(I26:I37)</f>
        <v>0</v>
      </c>
      <c r="J38" s="880"/>
      <c r="K38" s="90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603</v>
      </c>
      <c r="C42" s="652"/>
      <c r="D42" s="652"/>
      <c r="K42" s="852"/>
      <c r="M42" s="670"/>
    </row>
    <row r="43" spans="2:18" ht="25" customHeight="1">
      <c r="B43" s="973" t="s">
        <v>646</v>
      </c>
      <c r="C43" s="973"/>
      <c r="D43" s="973"/>
      <c r="E43" s="973"/>
      <c r="F43" s="973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2"/>
      <c r="I44" s="693" t="s">
        <v>554</v>
      </c>
      <c r="J44" s="692"/>
      <c r="K44" s="847" t="s">
        <v>17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898">
        <f t="shared" ref="F45:F54" si="3">G45/720</f>
        <v>2.4277777777777773E-2</v>
      </c>
      <c r="G45" s="898">
        <f t="shared" ref="G45:G54" si="4">C45*IAAS_vcpu_EUR+D45*IAAS_ram_EUR+E45*IAAS_ssd_EUR</f>
        <v>17.479999999999997</v>
      </c>
      <c r="H45" s="44"/>
      <c r="I45" s="697"/>
      <c r="J45" s="44"/>
      <c r="K45" s="900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899">
        <f t="shared" si="3"/>
        <v>3.833333333333333E-2</v>
      </c>
      <c r="G46" s="899">
        <f t="shared" si="4"/>
        <v>27.599999999999998</v>
      </c>
      <c r="H46" s="46"/>
      <c r="I46" s="697"/>
      <c r="J46" s="46"/>
      <c r="K46" s="901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898">
        <f t="shared" si="3"/>
        <v>4.8555555555555546E-2</v>
      </c>
      <c r="G47" s="898">
        <f t="shared" si="4"/>
        <v>34.959999999999994</v>
      </c>
      <c r="H47" s="44"/>
      <c r="I47" s="697"/>
      <c r="J47" s="44"/>
      <c r="K47" s="900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899">
        <f t="shared" si="3"/>
        <v>7.6666666666666661E-2</v>
      </c>
      <c r="G48" s="899">
        <f t="shared" si="4"/>
        <v>55.199999999999996</v>
      </c>
      <c r="H48" s="46"/>
      <c r="I48" s="697"/>
      <c r="J48" s="46"/>
      <c r="K48" s="901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898">
        <f t="shared" si="3"/>
        <v>9.7111111111111093E-2</v>
      </c>
      <c r="G49" s="898">
        <f t="shared" si="4"/>
        <v>69.919999999999987</v>
      </c>
      <c r="H49" s="44"/>
      <c r="I49" s="697"/>
      <c r="J49" s="44"/>
      <c r="K49" s="900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899">
        <f t="shared" si="3"/>
        <v>0.15333333333333332</v>
      </c>
      <c r="G50" s="899">
        <f t="shared" si="4"/>
        <v>110.39999999999999</v>
      </c>
      <c r="H50" s="46"/>
      <c r="I50" s="697"/>
      <c r="J50" s="46"/>
      <c r="K50" s="901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898">
        <f t="shared" si="3"/>
        <v>0.19422222222222219</v>
      </c>
      <c r="G51" s="898">
        <f t="shared" si="4"/>
        <v>139.83999999999997</v>
      </c>
      <c r="H51" s="44"/>
      <c r="I51" s="697"/>
      <c r="J51" s="44"/>
      <c r="K51" s="900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899">
        <f t="shared" si="3"/>
        <v>0.30666666666666664</v>
      </c>
      <c r="G52" s="899">
        <f t="shared" si="4"/>
        <v>220.79999999999998</v>
      </c>
      <c r="H52" s="46"/>
      <c r="I52" s="697"/>
      <c r="J52" s="46"/>
      <c r="K52" s="901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898">
        <f t="shared" si="3"/>
        <v>0.38844444444444437</v>
      </c>
      <c r="G53" s="898">
        <f t="shared" si="4"/>
        <v>279.67999999999995</v>
      </c>
      <c r="H53" s="44"/>
      <c r="I53" s="697"/>
      <c r="J53" s="44"/>
      <c r="K53" s="900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899">
        <f t="shared" si="3"/>
        <v>0.61333333333333329</v>
      </c>
      <c r="G54" s="899">
        <f t="shared" si="4"/>
        <v>441.59999999999997</v>
      </c>
      <c r="H54" s="46"/>
      <c r="I54" s="697"/>
      <c r="J54" s="46"/>
      <c r="K54" s="901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30</v>
      </c>
      <c r="C55" s="880" cm="1">
        <f t="array" ref="C55">SUM(b2_list_vCPU*b2_list_Antal_instanser)</f>
        <v>0</v>
      </c>
      <c r="D55" s="880" cm="1">
        <f t="array" ref="D55">SUM(b2_list_ram*b2_list_vCPU)</f>
        <v>0</v>
      </c>
      <c r="E55" s="885" t="s">
        <v>94</v>
      </c>
      <c r="F55" s="880"/>
      <c r="G55" s="880"/>
      <c r="H55" s="880"/>
      <c r="I55" s="880">
        <f>SUM(I45:I54)</f>
        <v>0</v>
      </c>
      <c r="J55" s="880"/>
      <c r="K55" s="905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538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538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551</v>
      </c>
      <c r="M77" s="670"/>
    </row>
    <row r="78" spans="2:20" s="73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34" t="s">
        <v>561</v>
      </c>
      <c r="J78" s="24"/>
      <c r="K78" s="614" t="s">
        <v>83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910">
        <f>G79/720</f>
        <v>1.5333333333333334E-4</v>
      </c>
      <c r="G79" s="911">
        <f>VOLUME_large_EUR</f>
        <v>0.1104</v>
      </c>
      <c r="H79" s="738"/>
      <c r="I79" s="739"/>
      <c r="J79" s="399"/>
      <c r="K79" s="906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912">
        <f>G80/720</f>
        <v>4.6000000000000001E-4</v>
      </c>
      <c r="G80" s="913">
        <f>VOLUME_fast_EUR</f>
        <v>0.33119999999999999</v>
      </c>
      <c r="H80" s="741"/>
      <c r="I80" s="743"/>
      <c r="J80" s="744"/>
      <c r="K80" s="907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910">
        <f>G81/720</f>
        <v>1.5333333333333334E-4</v>
      </c>
      <c r="G81" s="911">
        <f>VOLUME_large_EUR</f>
        <v>0.1104</v>
      </c>
      <c r="H81" s="745"/>
      <c r="I81" s="739"/>
      <c r="J81" s="399"/>
      <c r="K81" s="906">
        <f>ROUNDUP(I81*G81,2)</f>
        <v>0</v>
      </c>
      <c r="L81" s="8"/>
      <c r="M81" s="670"/>
    </row>
    <row r="82" spans="2:20" s="883" customFormat="1" ht="25" customHeight="1">
      <c r="B82" s="879" t="s">
        <v>30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904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34" t="s">
        <v>560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78"/>
      <c r="D93" s="524"/>
      <c r="E93" s="524"/>
      <c r="F93" s="754"/>
      <c r="G93" s="914">
        <f>S3_archive.50_EUR</f>
        <v>32.200000000000003</v>
      </c>
      <c r="H93" s="754"/>
      <c r="I93" s="755"/>
      <c r="J93" s="756"/>
      <c r="K93" s="906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/>
      <c r="D94" s="79"/>
      <c r="E94" s="79"/>
      <c r="F94" s="741"/>
      <c r="G94" s="909">
        <f>S3_storage50_EUR</f>
        <v>46</v>
      </c>
      <c r="H94" s="742"/>
      <c r="I94" s="759"/>
      <c r="J94" s="744"/>
      <c r="K94" s="907">
        <f>I94*G94</f>
        <v>0</v>
      </c>
      <c r="L94" s="8"/>
      <c r="M94" s="670"/>
      <c r="T94" s="687"/>
    </row>
    <row r="95" spans="2:20" s="883" customFormat="1" ht="25" customHeight="1">
      <c r="B95" s="879" t="s">
        <v>30</v>
      </c>
      <c r="C95" s="880"/>
      <c r="D95" s="880"/>
      <c r="E95" s="880"/>
      <c r="F95" s="880"/>
      <c r="G95" s="880"/>
      <c r="H95" s="880"/>
      <c r="I95" s="880"/>
      <c r="J95" s="880"/>
      <c r="K95" s="904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9</v>
      </c>
      <c r="C115" s="775"/>
      <c r="D115" s="775"/>
      <c r="E115" s="131" t="s">
        <v>562</v>
      </c>
      <c r="F115" s="775"/>
      <c r="G115" s="131" t="s">
        <v>563</v>
      </c>
      <c r="H115" s="24"/>
      <c r="I115" s="734" t="s">
        <v>561</v>
      </c>
      <c r="J115" s="734" t="s">
        <v>564</v>
      </c>
      <c r="K115" s="614" t="s">
        <v>604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15">
        <f>BAAS_on.demand_EUR</f>
        <v>0.22540000000000002</v>
      </c>
      <c r="H116" s="399"/>
      <c r="I116" s="755"/>
      <c r="J116" s="887" t="s">
        <v>94</v>
      </c>
      <c r="K116" s="906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924">
        <f>BAAS_small.fee_EUR</f>
        <v>506</v>
      </c>
      <c r="F117" s="744"/>
      <c r="G117" s="916">
        <f>BAAS_small_EUR</f>
        <v>0.161</v>
      </c>
      <c r="H117" s="744"/>
      <c r="I117" s="771"/>
      <c r="J117" s="772">
        <v>0.75</v>
      </c>
      <c r="K117" s="907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925">
        <f>BAAS_large.fee_EUR</f>
        <v>874</v>
      </c>
      <c r="F118" s="763"/>
      <c r="G118" s="915">
        <f>BAAS_large_EUR</f>
        <v>8.4640000000000007E-2</v>
      </c>
      <c r="H118" s="763"/>
      <c r="I118" s="762"/>
      <c r="J118" s="774">
        <v>0.75</v>
      </c>
      <c r="K118" s="582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30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904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662</v>
      </c>
      <c r="C127" s="465"/>
      <c r="D127" s="465"/>
      <c r="E127" s="465"/>
      <c r="F127" s="465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9</v>
      </c>
      <c r="C130" s="952" t="s">
        <v>570</v>
      </c>
      <c r="D130" s="952"/>
      <c r="E130" s="952" t="s">
        <v>571</v>
      </c>
      <c r="F130" s="952"/>
      <c r="G130" s="974" t="s">
        <v>562</v>
      </c>
      <c r="H130" s="97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574</v>
      </c>
      <c r="F131" s="960"/>
      <c r="G131" s="922">
        <f>PAAS_man.kubernetes_EUR</f>
        <v>2208</v>
      </c>
      <c r="H131" s="920"/>
      <c r="I131" s="755"/>
      <c r="J131" s="938">
        <v>2</v>
      </c>
      <c r="K131" s="918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572</v>
      </c>
      <c r="D132" s="959"/>
      <c r="E132" s="961" t="s">
        <v>573</v>
      </c>
      <c r="F132" s="961"/>
      <c r="G132" s="923">
        <f>PAAS_man.kubernetes8_EUR</f>
        <v>1380</v>
      </c>
      <c r="H132" s="921"/>
      <c r="I132" s="759"/>
      <c r="J132" s="744"/>
      <c r="K132" s="919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30</v>
      </c>
      <c r="C133" s="880"/>
      <c r="D133" s="880"/>
      <c r="E133" s="880"/>
      <c r="F133" s="880"/>
      <c r="G133" s="880"/>
      <c r="H133" s="880"/>
      <c r="I133" s="937"/>
      <c r="J133" s="880"/>
      <c r="K133" s="904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100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6" t="s">
        <v>578</v>
      </c>
      <c r="K145" s="926">
        <f>NET_publicv4_EUR</f>
        <v>2.2999999999999998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77"/>
      <c r="G146" s="777"/>
      <c r="H146" s="777"/>
      <c r="I146" s="777"/>
      <c r="J146" s="778" t="s">
        <v>94</v>
      </c>
      <c r="K146" s="927">
        <f>NET_publicv6_EUR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76" t="s">
        <v>69</v>
      </c>
      <c r="K147" s="926">
        <f>NET_ingress_EUR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77"/>
      <c r="G148" s="777"/>
      <c r="H148" s="777"/>
      <c r="I148" s="777"/>
      <c r="J148" s="779" t="s">
        <v>69</v>
      </c>
      <c r="K148" s="927">
        <f>NET_egress_EUR</f>
        <v>2.3E-2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76" t="s">
        <v>116</v>
      </c>
      <c r="K149" s="908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927">
        <f>NET_rdns_EUR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926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906">
        <f>SW_win.ser.201X_EUR</f>
        <v>7.1760000000000002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907">
        <f>SW_win.ser.201X_EUR</f>
        <v>7.1760000000000002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906">
        <f>SW_win.ser.201X_EUR</f>
        <v>7.1760000000000002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907">
        <f>SW_ms.sql.ser_EUR</f>
        <v>137.816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941" t="str">
        <f>SW_nextcloud_EUR</f>
        <v>Request a quote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942" t="str">
        <f>SW_suse_EUR</f>
        <v>Request a quote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941" t="str">
        <f>SW_cluster.control_EUR</f>
        <v>3x instance price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140</v>
      </c>
      <c r="K165" s="907">
        <f>SW_backup.ninja_EUR</f>
        <v>36.799999999999997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28">
        <f>PAAS_man.kubernetes_EUR</f>
        <v>2208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07">
        <f>PAAS_man.postgres.sql_EUR</f>
        <v>1380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06" t="str">
        <f>PAAS_man.elasticsearch_EUR</f>
        <v>Requests for quotation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77"/>
      <c r="G175" s="777"/>
      <c r="H175" s="777"/>
      <c r="I175" s="777"/>
      <c r="J175" s="785"/>
      <c r="K175" s="907">
        <f>PAAS_openshift_EUR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06" t="str">
        <f>PAAS_man.nats_EUR</f>
        <v>Requests for quotation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07" t="str">
        <f>PAAS_man.mariadb_EUR</f>
        <v>Requests for quotation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06" t="str">
        <f>PAAS_man.redis_EUR</f>
        <v>Requests for quotation</v>
      </c>
      <c r="M178" s="670"/>
      <c r="N178" s="748"/>
      <c r="O178" s="8"/>
    </row>
    <row r="179" spans="2:20" ht="25" customHeight="1">
      <c r="B179" s="137" t="s">
        <v>677</v>
      </c>
      <c r="C179" s="130"/>
      <c r="D179" s="38"/>
      <c r="E179" s="38" t="s">
        <v>672</v>
      </c>
      <c r="F179" s="777"/>
      <c r="G179" s="777"/>
      <c r="H179" s="777"/>
      <c r="I179" s="777"/>
      <c r="J179" s="785"/>
      <c r="K179" s="924">
        <v>2799</v>
      </c>
      <c r="M179" s="670"/>
      <c r="N179" s="748"/>
      <c r="O179" s="8"/>
    </row>
    <row r="180" spans="2:20" ht="25" customHeight="1">
      <c r="B180" s="948" t="s">
        <v>679</v>
      </c>
      <c r="C180" s="129"/>
      <c r="D180" s="30"/>
      <c r="E180" s="30" t="s">
        <v>673</v>
      </c>
      <c r="F180" s="30"/>
      <c r="G180" s="30"/>
      <c r="H180" s="30"/>
      <c r="I180" s="30"/>
      <c r="J180" s="40"/>
      <c r="K180" s="950">
        <v>10</v>
      </c>
      <c r="M180" s="670"/>
      <c r="N180" s="748"/>
      <c r="O180" s="8"/>
    </row>
    <row r="181" spans="2:20" ht="25" customHeight="1">
      <c r="B181" s="949" t="s">
        <v>678</v>
      </c>
      <c r="C181" s="130"/>
      <c r="D181" s="38"/>
      <c r="E181" s="38" t="s">
        <v>674</v>
      </c>
      <c r="F181" s="777"/>
      <c r="G181" s="777"/>
      <c r="H181" s="777"/>
      <c r="I181" s="777" t="s">
        <v>675</v>
      </c>
      <c r="J181" s="785"/>
      <c r="K181" s="924">
        <v>2208</v>
      </c>
      <c r="M181" s="670"/>
      <c r="N181" s="748"/>
      <c r="O181" s="8"/>
    </row>
    <row r="182" spans="2:20" ht="25" customHeight="1">
      <c r="B182" s="134" t="s">
        <v>680</v>
      </c>
      <c r="C182" s="129"/>
      <c r="D182" s="30"/>
      <c r="E182" s="30" t="s">
        <v>676</v>
      </c>
      <c r="F182" s="30"/>
      <c r="G182" s="30"/>
      <c r="H182" s="30"/>
      <c r="I182" s="30"/>
      <c r="J182" s="40"/>
      <c r="K182" s="950">
        <v>452</v>
      </c>
      <c r="M182" s="670"/>
      <c r="N182" s="748"/>
      <c r="O182" s="8"/>
    </row>
    <row r="183" spans="2:20" ht="25" customHeight="1">
      <c r="B183" s="106"/>
      <c r="C183" s="103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30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585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586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587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588</v>
      </c>
      <c r="M193" s="670"/>
    </row>
    <row r="194" spans="2:18" ht="25" customHeight="1">
      <c r="B194" s="470" t="s">
        <v>9</v>
      </c>
      <c r="C194" s="23"/>
      <c r="D194" s="24" t="s">
        <v>64</v>
      </c>
      <c r="E194" s="24"/>
      <c r="F194" s="24"/>
      <c r="G194" s="24"/>
      <c r="H194" s="24"/>
      <c r="I194" s="23" t="s">
        <v>577</v>
      </c>
      <c r="J194" s="23"/>
      <c r="K194" s="614" t="s">
        <v>14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589</v>
      </c>
      <c r="E195" s="40"/>
      <c r="F195" s="30"/>
      <c r="G195" s="40"/>
      <c r="H195" s="40"/>
      <c r="I195" s="781" t="s">
        <v>605</v>
      </c>
      <c r="J195" s="781"/>
      <c r="K195" s="906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157</v>
      </c>
      <c r="J196" s="779"/>
      <c r="K196" s="556" t="s">
        <v>590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161</v>
      </c>
      <c r="J197" s="776"/>
      <c r="K197" s="557" t="s">
        <v>591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592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593</v>
      </c>
      <c r="M201" s="670"/>
    </row>
    <row r="202" spans="2:18" ht="25" customHeight="1">
      <c r="B202" s="470" t="s">
        <v>9</v>
      </c>
      <c r="C202" s="23"/>
      <c r="D202" s="24" t="s">
        <v>64</v>
      </c>
      <c r="E202" s="24"/>
      <c r="F202" s="24"/>
      <c r="G202" s="24"/>
      <c r="H202" s="24"/>
      <c r="I202" s="23" t="s">
        <v>577</v>
      </c>
      <c r="J202" s="23"/>
      <c r="K202" s="614" t="s">
        <v>14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161</v>
      </c>
      <c r="J203" s="776"/>
      <c r="K203" s="906">
        <f>PS_consult.jun_EUR</f>
        <v>103.684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161</v>
      </c>
      <c r="J204" s="779"/>
      <c r="K204" s="907">
        <f>PS_consult.sen_EUR</f>
        <v>126.408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161</v>
      </c>
      <c r="J205" s="776"/>
      <c r="K205" s="906">
        <f>PS_cloudarch.jun_EUR</f>
        <v>117.48399999999999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161</v>
      </c>
      <c r="J206" s="779"/>
      <c r="K206" s="907">
        <f>PS_cloudarch.sen_EUR</f>
        <v>126.408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161</v>
      </c>
      <c r="J207" s="776"/>
      <c r="K207" s="906">
        <f>PS_pm.jun_EUR</f>
        <v>104.788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161</v>
      </c>
      <c r="J208" s="779"/>
      <c r="K208" s="907">
        <f>PS_pm.sen_EUR</f>
        <v>126.408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594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595</v>
      </c>
      <c r="M212" s="670"/>
    </row>
    <row r="213" spans="1:18" ht="25" customHeight="1">
      <c r="B213" s="470" t="s">
        <v>9</v>
      </c>
      <c r="C213" s="23"/>
      <c r="D213" s="24" t="s">
        <v>64</v>
      </c>
      <c r="E213" s="132"/>
      <c r="F213" s="24"/>
      <c r="G213" s="131" t="s">
        <v>178</v>
      </c>
      <c r="H213" s="23"/>
      <c r="I213" s="132" t="s">
        <v>577</v>
      </c>
      <c r="J213" s="23"/>
      <c r="K213" s="614" t="s">
        <v>179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182</v>
      </c>
      <c r="E214" s="40"/>
      <c r="F214" s="30"/>
      <c r="G214" s="40" t="s">
        <v>181</v>
      </c>
      <c r="H214" s="776"/>
      <c r="I214" s="929" t="s">
        <v>183</v>
      </c>
      <c r="J214" s="776"/>
      <c r="K214" s="557" t="s">
        <v>591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596</v>
      </c>
      <c r="E215" s="31"/>
      <c r="F215" s="777"/>
      <c r="G215" s="785" t="s">
        <v>181</v>
      </c>
      <c r="H215" s="779"/>
      <c r="I215" s="930" t="s">
        <v>183</v>
      </c>
      <c r="J215" s="779"/>
      <c r="K215" s="556" t="s">
        <v>591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597</v>
      </c>
      <c r="E216" s="40"/>
      <c r="F216" s="30"/>
      <c r="G216" s="40" t="s">
        <v>187</v>
      </c>
      <c r="H216" s="776"/>
      <c r="I216" s="929" t="s">
        <v>183</v>
      </c>
      <c r="J216" s="776"/>
      <c r="K216" s="557" t="s">
        <v>591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598</v>
      </c>
      <c r="E217" s="31"/>
      <c r="F217" s="777"/>
      <c r="G217" s="785" t="s">
        <v>187</v>
      </c>
      <c r="H217" s="779"/>
      <c r="I217" s="930" t="s">
        <v>183</v>
      </c>
      <c r="J217" s="779"/>
      <c r="K217" s="556" t="s">
        <v>591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191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587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600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601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602</v>
      </c>
      <c r="C233" s="56"/>
      <c r="D233" s="57"/>
      <c r="E233" s="56"/>
      <c r="F233" s="665"/>
      <c r="G233" s="665"/>
      <c r="H233" s="665"/>
      <c r="I233" s="56"/>
      <c r="J233" s="665" t="s">
        <v>599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931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S3"&amp;"     /     "&amp;K93&amp;" TB - Archive"</f>
        <v>0 TB - S3     /     0 TB - Archive</v>
      </c>
      <c r="D235" s="663"/>
      <c r="E235" s="663"/>
      <c r="F235" s="808"/>
      <c r="G235" s="809"/>
      <c r="H235" s="809"/>
      <c r="I235" s="810"/>
      <c r="J235" s="932">
        <f>K95</f>
        <v>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932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IF(J131=1,"Fully managed service - support weekdays 08: 00-17: 00",IF(J131=3,"Fully managed service - support around the clock, every day",""))</f>
        <v/>
      </c>
      <c r="D237" s="33"/>
      <c r="E237" s="34"/>
      <c r="F237" s="35"/>
      <c r="G237" s="812"/>
      <c r="H237" s="812"/>
      <c r="I237" s="763"/>
      <c r="J237" s="91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30</v>
      </c>
      <c r="C238" s="659"/>
      <c r="D238" s="660"/>
      <c r="E238" s="660"/>
      <c r="F238" s="815"/>
      <c r="G238" s="816"/>
      <c r="H238" s="816"/>
      <c r="I238" s="817"/>
      <c r="J238" s="933">
        <f>SUM(J234:J237)</f>
        <v>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565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566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567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568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671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2escFr6TSmHxV1nL9chh0geIbe5YC2a09fqiDCLR+LuhNz325NQ9L498ANT4OT3ncmkhj5PYjd2X4MU7hnfF5g==" saltValue="JlwFjJrnSm9Bx0KlQp/6pA==" spinCount="100000" sheet="1" objects="1" scenarios="1" selectLockedCells="1"/>
  <mergeCells count="40">
    <mergeCell ref="B189:F189"/>
    <mergeCell ref="B190:F190"/>
    <mergeCell ref="B224:G226"/>
    <mergeCell ref="B227:F227"/>
    <mergeCell ref="C132:D132"/>
    <mergeCell ref="E132:F132"/>
    <mergeCell ref="B137:G139"/>
    <mergeCell ref="B186:G188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31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06" t="str">
        <f>"1 SEK = "&amp;EUR&amp;" EUR"</f>
        <v>1 SEK = 0,092 EUR</v>
      </c>
      <c r="E11" s="1006"/>
      <c r="F11" s="1006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78"/>
      <c r="C16" s="978"/>
      <c r="D16" s="978"/>
      <c r="E16" s="978"/>
      <c r="F16" s="978"/>
      <c r="G16" s="978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78"/>
      <c r="C17" s="978"/>
      <c r="D17" s="978"/>
      <c r="E17" s="978"/>
      <c r="F17" s="978"/>
      <c r="G17" s="978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05" t="s">
        <v>6</v>
      </c>
      <c r="C19" s="1005"/>
      <c r="D19" s="1005"/>
      <c r="E19" s="1005"/>
      <c r="F19" s="1005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97" t="s">
        <v>65</v>
      </c>
      <c r="G88" s="997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10">
        <f>VOLUME_large_EUR</f>
        <v>0.1104</v>
      </c>
      <c r="G89" s="1010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26">
        <f>VOLUME_fast_EUR</f>
        <v>0.33119999999999999</v>
      </c>
      <c r="G90" s="1026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567"/>
      <c r="O95" s="168"/>
    </row>
    <row r="96" spans="2:23" s="169" customFormat="1" ht="2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567"/>
      <c r="O96" s="168"/>
    </row>
    <row r="97" spans="2:22" s="169" customFormat="1" ht="2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567"/>
      <c r="O97" s="168"/>
    </row>
    <row r="98" spans="2:22" s="169" customFormat="1" ht="25" customHeight="1">
      <c r="B98" s="1027" t="s">
        <v>73</v>
      </c>
      <c r="C98" s="1027"/>
      <c r="D98" s="1027"/>
      <c r="E98" s="1027"/>
      <c r="F98" s="1027"/>
      <c r="H98" s="177"/>
      <c r="J98" s="178"/>
      <c r="K98" s="178"/>
      <c r="M98" s="567"/>
      <c r="N98" s="182"/>
      <c r="O98" s="187"/>
    </row>
    <row r="99" spans="2:22" s="291" customFormat="1" ht="25" customHeight="1">
      <c r="B99" s="1005" t="s">
        <v>74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97" t="s">
        <v>76</v>
      </c>
      <c r="E102" s="997"/>
      <c r="F102" s="997"/>
      <c r="G102" s="997"/>
      <c r="H102" s="266" t="s">
        <v>75</v>
      </c>
      <c r="I102" s="265"/>
      <c r="J102" s="997"/>
      <c r="K102" s="997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08">
        <f>S3_storage.50_EUR</f>
        <v>32.200000000000003</v>
      </c>
      <c r="E104" s="1008"/>
      <c r="F104" s="1009"/>
      <c r="G104" s="1009"/>
      <c r="H104" s="1009"/>
      <c r="I104" s="1009"/>
      <c r="J104" s="1009"/>
      <c r="K104" s="1009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96">
        <f>S3_storage.100_EUR</f>
        <v>24.84</v>
      </c>
      <c r="E105" s="996"/>
      <c r="F105" s="1001"/>
      <c r="G105" s="1001"/>
      <c r="H105" s="1001"/>
      <c r="I105" s="1001"/>
      <c r="J105" s="1001"/>
      <c r="K105" s="1001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00">
        <f>S3_storage.500_EUR</f>
        <v>18.399999999999999</v>
      </c>
      <c r="E106" s="1000"/>
      <c r="F106" s="995"/>
      <c r="G106" s="995"/>
      <c r="H106" s="995"/>
      <c r="I106" s="995"/>
      <c r="J106" s="995"/>
      <c r="K106" s="995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96">
        <f>S3_storage.1000_EUR</f>
        <v>17.02</v>
      </c>
      <c r="E107" s="996"/>
      <c r="F107" s="1001"/>
      <c r="G107" s="1001"/>
      <c r="H107" s="1001"/>
      <c r="I107" s="1001"/>
      <c r="J107" s="1001"/>
      <c r="K107" s="1001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02" t="str">
        <f>S3_storage.quote_EUR</f>
        <v>Request a quote</v>
      </c>
      <c r="E108" s="1002"/>
      <c r="F108" s="1003"/>
      <c r="G108" s="1003"/>
      <c r="H108" s="1003"/>
      <c r="I108" s="1003"/>
      <c r="J108" s="1003"/>
      <c r="K108" s="1003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07" t="s">
        <v>76</v>
      </c>
      <c r="E111" s="1007"/>
      <c r="F111" s="997"/>
      <c r="G111" s="997"/>
      <c r="H111" s="266" t="s">
        <v>75</v>
      </c>
      <c r="I111" s="266"/>
      <c r="J111" s="997"/>
      <c r="K111" s="997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08">
        <f>S3_archive.50_EUR</f>
        <v>32.200000000000003</v>
      </c>
      <c r="E113" s="1008"/>
      <c r="F113" s="1009"/>
      <c r="G113" s="1009"/>
      <c r="H113" s="1009"/>
      <c r="I113" s="1009"/>
      <c r="J113" s="1009"/>
      <c r="K113" s="1009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96">
        <f>S3_archive.100_EUR</f>
        <v>24.84</v>
      </c>
      <c r="E114" s="996"/>
      <c r="F114" s="1001"/>
      <c r="G114" s="1001"/>
      <c r="H114" s="1001"/>
      <c r="I114" s="1001"/>
      <c r="J114" s="1001"/>
      <c r="K114" s="1001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00">
        <f>S3_archive.500_EUR</f>
        <v>18.399999999999999</v>
      </c>
      <c r="E115" s="1000"/>
      <c r="F115" s="995"/>
      <c r="G115" s="995"/>
      <c r="H115" s="995"/>
      <c r="I115" s="995"/>
      <c r="J115" s="995"/>
      <c r="K115" s="995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96">
        <f>S3_archive.1000_EUR</f>
        <v>17.02</v>
      </c>
      <c r="E116" s="996"/>
      <c r="F116" s="1001"/>
      <c r="G116" s="1001"/>
      <c r="H116" s="1001"/>
      <c r="I116" s="1001"/>
      <c r="J116" s="1001"/>
      <c r="K116" s="1001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02" t="str">
        <f>S3_archive.quote_EUR</f>
        <v>Request a quote</v>
      </c>
      <c r="E117" s="1002"/>
      <c r="F117" s="1003"/>
      <c r="G117" s="1003"/>
      <c r="H117" s="1003"/>
      <c r="I117" s="1003"/>
      <c r="J117" s="1003"/>
      <c r="K117" s="1003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78" t="s">
        <v>86</v>
      </c>
      <c r="C122" s="978"/>
      <c r="D122" s="978"/>
      <c r="E122" s="978"/>
      <c r="F122" s="978"/>
      <c r="G122" s="978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78"/>
      <c r="C123" s="978"/>
      <c r="D123" s="978"/>
      <c r="E123" s="978"/>
      <c r="F123" s="978"/>
      <c r="G123" s="978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78"/>
      <c r="C124" s="978"/>
      <c r="D124" s="978"/>
      <c r="E124" s="978"/>
      <c r="F124" s="978"/>
      <c r="G124" s="978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99" t="s">
        <v>87</v>
      </c>
      <c r="C125" s="999"/>
      <c r="D125" s="999"/>
      <c r="E125" s="999"/>
      <c r="F125" s="999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79" t="s">
        <v>6</v>
      </c>
      <c r="C126" s="979"/>
      <c r="D126" s="979"/>
      <c r="E126" s="979"/>
      <c r="F126" s="979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97" t="s">
        <v>89</v>
      </c>
      <c r="G129" s="997"/>
      <c r="H129" s="266" t="s">
        <v>90</v>
      </c>
      <c r="I129" s="265"/>
      <c r="J129" s="1011" t="s">
        <v>91</v>
      </c>
      <c r="K129" s="1011"/>
      <c r="L129" s="535"/>
      <c r="M129" s="577" t="s">
        <v>92</v>
      </c>
      <c r="N129" s="252"/>
      <c r="O129" s="160"/>
    </row>
    <row r="130" spans="2:34" ht="25" customHeight="1">
      <c r="B130" s="1012" t="s">
        <v>93</v>
      </c>
      <c r="C130" s="1012"/>
      <c r="D130" s="467" t="s">
        <v>94</v>
      </c>
      <c r="E130" s="29"/>
      <c r="F130" s="1013">
        <f>BAAS_on.demand_EUR</f>
        <v>0.22540000000000002</v>
      </c>
      <c r="G130" s="1014"/>
      <c r="H130" s="307">
        <v>0</v>
      </c>
      <c r="I130" s="272" t="s">
        <v>69</v>
      </c>
      <c r="J130" s="1015" t="s">
        <v>94</v>
      </c>
      <c r="K130" s="1015"/>
      <c r="L130" s="308"/>
      <c r="M130" s="578">
        <f>ROUNDUP(H130*F130,2)</f>
        <v>0</v>
      </c>
      <c r="N130" s="252"/>
      <c r="O130" s="160"/>
    </row>
    <row r="131" spans="2:34" ht="25" customHeight="1">
      <c r="B131" s="1016" t="s">
        <v>95</v>
      </c>
      <c r="C131" s="1016"/>
      <c r="D131" s="468">
        <f>BAAS_small.fee_EUR</f>
        <v>506</v>
      </c>
      <c r="E131" s="32"/>
      <c r="F131" s="1017">
        <f>BAAS_small_EUR</f>
        <v>0.161</v>
      </c>
      <c r="G131" s="1018"/>
      <c r="H131" s="309">
        <v>0</v>
      </c>
      <c r="I131" s="276" t="s">
        <v>69</v>
      </c>
      <c r="J131" s="1019">
        <v>0.75</v>
      </c>
      <c r="K131" s="1020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21" t="s">
        <v>96</v>
      </c>
      <c r="C132" s="1021"/>
      <c r="D132" s="469">
        <f>BAAS_large.fee_EUR</f>
        <v>874</v>
      </c>
      <c r="E132" s="35"/>
      <c r="F132" s="1022">
        <f>BAAS_large_EUR</f>
        <v>8.4640000000000007E-2</v>
      </c>
      <c r="G132" s="1023"/>
      <c r="H132" s="298">
        <v>0</v>
      </c>
      <c r="I132" s="299" t="s">
        <v>69</v>
      </c>
      <c r="J132" s="1024">
        <v>0.75</v>
      </c>
      <c r="K132" s="1025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98" t="s">
        <v>97</v>
      </c>
      <c r="C135" s="998"/>
      <c r="D135" s="998"/>
      <c r="E135" s="998"/>
      <c r="F135" s="998"/>
      <c r="G135" s="998"/>
      <c r="H135" s="998"/>
      <c r="I135" s="998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98" t="s">
        <v>98</v>
      </c>
      <c r="C136" s="998"/>
      <c r="D136" s="998"/>
      <c r="E136" s="998"/>
      <c r="F136" s="998"/>
      <c r="G136" s="998"/>
      <c r="H136" s="998"/>
      <c r="I136" s="998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98" t="s">
        <v>99</v>
      </c>
      <c r="C137" s="998"/>
      <c r="D137" s="998"/>
      <c r="E137" s="998"/>
      <c r="F137" s="998"/>
      <c r="G137" s="998"/>
      <c r="H137" s="998"/>
      <c r="I137" s="998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98" t="s">
        <v>418</v>
      </c>
      <c r="C138" s="998"/>
      <c r="D138" s="998"/>
      <c r="E138" s="998"/>
      <c r="F138" s="998"/>
      <c r="G138" s="998"/>
      <c r="H138" s="998"/>
      <c r="I138" s="998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78" t="s">
        <v>100</v>
      </c>
      <c r="C143" s="978"/>
      <c r="D143" s="978"/>
      <c r="E143" s="978"/>
      <c r="F143" s="978"/>
      <c r="G143" s="978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78"/>
      <c r="C144" s="978"/>
      <c r="D144" s="978"/>
      <c r="E144" s="978"/>
      <c r="F144" s="978"/>
      <c r="G144" s="978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78"/>
      <c r="C145" s="978"/>
      <c r="D145" s="978"/>
      <c r="E145" s="978"/>
      <c r="F145" s="978"/>
      <c r="G145" s="978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79" t="s">
        <v>6</v>
      </c>
      <c r="C146" s="979"/>
      <c r="D146" s="979"/>
      <c r="E146" s="979"/>
      <c r="F146" s="979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80"/>
      <c r="C147" s="980"/>
      <c r="D147" s="980"/>
      <c r="E147" s="980"/>
      <c r="F147" s="980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76" t="s">
        <v>14</v>
      </c>
      <c r="M150" s="97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77">
        <f>NET_publicv4_EUR</f>
        <v>2.2999999999999998</v>
      </c>
      <c r="M151" s="977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9">
        <f>NET_publicv6_EUR</f>
        <v>0</v>
      </c>
      <c r="M152" s="1029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30">
        <f>NET_ingress_EUR</f>
        <v>0</v>
      </c>
      <c r="M153" s="1030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9">
        <f>NET_egress_EUR</f>
        <v>2.3E-2</v>
      </c>
      <c r="M154" s="1029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91" t="str">
        <f>NET_mgn.slb_EUR</f>
        <v>Request a quote</v>
      </c>
      <c r="M155" s="991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9">
        <f>NET_rdns_EUR</f>
        <v>0</v>
      </c>
      <c r="M156" s="1029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91">
        <f>NET_byoip_EUR</f>
        <v>0</v>
      </c>
      <c r="M157" s="991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8"/>
      <c r="M158" s="1028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75"/>
      <c r="M159" s="97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76" t="s">
        <v>14</v>
      </c>
      <c r="M160" s="97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77">
        <f>SW_win.ser.201X_EUR</f>
        <v>7.1760000000000002</v>
      </c>
      <c r="M161" s="977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34">
        <f>SW_win.ser.201X_EUR</f>
        <v>7.1760000000000002</v>
      </c>
      <c r="M162" s="103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91">
        <f>SW_ms.sql.ser_EUR</f>
        <v>137.816</v>
      </c>
      <c r="M163" s="991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35" t="str">
        <f>SW_stackn_EUR</f>
        <v>Request a quote</v>
      </c>
      <c r="M164" s="1035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36" t="str">
        <f>SW_nextcloud_EUR</f>
        <v>Request a quote</v>
      </c>
      <c r="M165" s="103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35" t="str">
        <f>SW_suse_EUR</f>
        <v>Request a quote</v>
      </c>
      <c r="M166" s="1035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36" t="str">
        <f>SW_cluster.control_EUR</f>
        <v>3x instance price</v>
      </c>
      <c r="M167" s="103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92">
        <f>SW_backup.ninja_EUR</f>
        <v>36.799999999999997</v>
      </c>
      <c r="M168" s="992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93"/>
      <c r="M169" s="993"/>
      <c r="O169" s="205"/>
      <c r="P169" s="190"/>
      <c r="R169" s="284"/>
      <c r="S169" s="189"/>
    </row>
    <row r="170" spans="2:22" ht="25" customHeight="1">
      <c r="B170" s="471"/>
      <c r="K170" s="334"/>
      <c r="L170" s="1031"/>
      <c r="M170" s="103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75"/>
      <c r="M171" s="97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76" t="s">
        <v>14</v>
      </c>
      <c r="M172" s="976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41">
        <f>PAAS_man.kubernetes24_EUR</f>
        <v>2208</v>
      </c>
      <c r="M173" s="1041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42">
        <f>PAAS_man.kubernetes8_EUR</f>
        <v>1380</v>
      </c>
      <c r="M174" s="104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32" t="str">
        <f>PAAS_man.elasticsearch_EUR</f>
        <v>Requests for quotation</v>
      </c>
      <c r="M175" s="1032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42" t="str">
        <f>PAAS_man.redis_EUR</f>
        <v>Requests for quotation</v>
      </c>
      <c r="M176" s="104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32" t="str">
        <f>PAAS_man.nats_EUR</f>
        <v>Requests for quotation</v>
      </c>
      <c r="M177" s="1032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33" t="str">
        <f>PAAS_man.mariadb_EUR</f>
        <v>Requests for quotation</v>
      </c>
      <c r="M178" s="103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93"/>
      <c r="M179" s="99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39"/>
      <c r="M180" s="1039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40"/>
      <c r="M181" s="1040"/>
      <c r="N181" s="189"/>
      <c r="O181" s="205"/>
      <c r="P181" s="180"/>
      <c r="Q181" s="180"/>
    </row>
    <row r="182" spans="2:19" s="169" customFormat="1" ht="25" customHeight="1">
      <c r="B182" s="978" t="s">
        <v>151</v>
      </c>
      <c r="C182" s="978"/>
      <c r="D182" s="978"/>
      <c r="E182" s="978"/>
      <c r="F182" s="978"/>
      <c r="G182" s="978"/>
      <c r="H182" s="335"/>
      <c r="J182" s="178"/>
      <c r="L182" s="984"/>
      <c r="M182" s="984"/>
      <c r="N182" s="189"/>
      <c r="O182" s="205"/>
    </row>
    <row r="183" spans="2:19" s="169" customFormat="1" ht="25" customHeight="1">
      <c r="B183" s="978"/>
      <c r="C183" s="978"/>
      <c r="D183" s="978"/>
      <c r="E183" s="978"/>
      <c r="F183" s="978"/>
      <c r="G183" s="978"/>
      <c r="H183" s="335"/>
      <c r="J183" s="178"/>
      <c r="L183" s="984"/>
      <c r="M183" s="984"/>
      <c r="N183" s="189"/>
      <c r="O183" s="205"/>
    </row>
    <row r="184" spans="2:19" s="169" customFormat="1" ht="25" customHeight="1">
      <c r="B184" s="978"/>
      <c r="C184" s="978"/>
      <c r="D184" s="978"/>
      <c r="E184" s="978"/>
      <c r="F184" s="978"/>
      <c r="G184" s="978"/>
      <c r="H184" s="335"/>
      <c r="J184" s="178"/>
      <c r="L184" s="984"/>
      <c r="M184" s="984"/>
      <c r="N184" s="189"/>
      <c r="O184" s="205"/>
    </row>
    <row r="185" spans="2:19" s="169" customFormat="1" ht="25" customHeight="1">
      <c r="B185" s="979" t="s">
        <v>6</v>
      </c>
      <c r="C185" s="979"/>
      <c r="D185" s="979"/>
      <c r="E185" s="979"/>
      <c r="F185" s="979"/>
      <c r="H185" s="335"/>
      <c r="J185" s="178"/>
      <c r="L185" s="984"/>
      <c r="M185" s="984"/>
      <c r="N185" s="189"/>
      <c r="O185" s="205"/>
    </row>
    <row r="186" spans="2:19" s="169" customFormat="1" ht="25" customHeight="1">
      <c r="B186" s="980"/>
      <c r="C186" s="980"/>
      <c r="D186" s="980"/>
      <c r="E186" s="980"/>
      <c r="F186" s="980"/>
      <c r="G186" s="182"/>
      <c r="H186" s="183"/>
      <c r="I186" s="182"/>
      <c r="J186" s="184"/>
      <c r="K186" s="182"/>
      <c r="L186" s="985"/>
      <c r="M186" s="98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85"/>
      <c r="M187" s="98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86"/>
      <c r="M188" s="98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76" t="s">
        <v>14</v>
      </c>
      <c r="M189" s="97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87">
        <v>0</v>
      </c>
      <c r="M190" s="98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37" t="s">
        <v>158</v>
      </c>
      <c r="M191" s="103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38" t="s">
        <v>162</v>
      </c>
      <c r="M192" s="103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93"/>
      <c r="M193" s="99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94"/>
      <c r="M194" s="99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75"/>
      <c r="M195" s="97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76" t="s">
        <v>14</v>
      </c>
      <c r="M196" s="97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77">
        <f>PS_consult.jun_EUR</f>
        <v>103.684</v>
      </c>
      <c r="M197" s="977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34">
        <f>PS_consult.sen_EUR</f>
        <v>126.408</v>
      </c>
      <c r="M198" s="103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91">
        <f>PS_cloudarch.jun_EUR</f>
        <v>117.48399999999999</v>
      </c>
      <c r="M199" s="991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34">
        <f>PS_cloudarch.sen_EUR</f>
        <v>126.408</v>
      </c>
      <c r="M200" s="103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91">
        <f>PS_pm.jun_EUR</f>
        <v>104.788</v>
      </c>
      <c r="M201" s="991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92">
        <f>PS_pm.sen_EUR</f>
        <v>126.408</v>
      </c>
      <c r="M202" s="992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93"/>
      <c r="M203" s="99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94"/>
      <c r="M204" s="99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75"/>
      <c r="M205" s="97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76" t="s">
        <v>179</v>
      </c>
      <c r="M206" s="97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87" t="s">
        <v>162</v>
      </c>
      <c r="M207" s="98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88" t="s">
        <v>162</v>
      </c>
      <c r="M208" s="98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89" t="s">
        <v>162</v>
      </c>
      <c r="M209" s="98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90" t="s">
        <v>162</v>
      </c>
      <c r="M210" s="99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81" t="s">
        <v>191</v>
      </c>
      <c r="C217" s="981"/>
      <c r="D217" s="981"/>
      <c r="E217" s="981"/>
      <c r="F217" s="981"/>
      <c r="G217" s="981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81"/>
      <c r="C218" s="981"/>
      <c r="D218" s="981"/>
      <c r="E218" s="981"/>
      <c r="F218" s="981"/>
      <c r="G218" s="981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81"/>
      <c r="C219" s="981"/>
      <c r="D219" s="981"/>
      <c r="E219" s="981"/>
      <c r="F219" s="981"/>
      <c r="G219" s="981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82" t="s">
        <v>6</v>
      </c>
      <c r="C220" s="982"/>
      <c r="D220" s="982"/>
      <c r="E220" s="982"/>
      <c r="F220" s="982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83" t="str">
        <f>SUM(E67)&amp;" GB NVME-Disk"</f>
        <v>0 GB NVME-Disk</v>
      </c>
      <c r="G227" s="983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5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683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606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607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647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610</v>
      </c>
      <c r="H25" s="692"/>
      <c r="I25" s="693" t="s">
        <v>612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8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449</v>
      </c>
      <c r="C42" s="652"/>
      <c r="D42" s="652"/>
      <c r="K42" s="852"/>
      <c r="M42" s="670"/>
    </row>
    <row r="43" spans="2:18" ht="25" customHeight="1">
      <c r="B43" s="968" t="s">
        <v>653</v>
      </c>
      <c r="C43" s="968"/>
      <c r="D43" s="968"/>
      <c r="E43" s="968"/>
      <c r="M43" s="670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610</v>
      </c>
      <c r="H44" s="692"/>
      <c r="I44" s="693" t="s">
        <v>612</v>
      </c>
      <c r="J44" s="692"/>
      <c r="K44" s="847" t="s">
        <v>215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654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654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609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608</v>
      </c>
      <c r="M77" s="670"/>
    </row>
    <row r="78" spans="2:20" s="73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4" t="s">
        <v>611</v>
      </c>
      <c r="J78" s="24"/>
      <c r="K78" s="614" t="s">
        <v>613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6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6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6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6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6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6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6" s="4" customFormat="1" ht="25" customHeight="1">
      <c r="B88" s="551" t="s">
        <v>648</v>
      </c>
      <c r="C88" s="551"/>
      <c r="D88" s="551"/>
      <c r="E88" s="551"/>
      <c r="F88" s="551"/>
      <c r="H88" s="678"/>
      <c r="J88" s="680"/>
      <c r="K88" s="843"/>
      <c r="M88" s="670"/>
    </row>
    <row r="89" spans="2:26" s="505" customFormat="1" ht="25" customHeight="1">
      <c r="B89" s="465" t="s">
        <v>614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3"/>
      <c r="H90" s="684"/>
      <c r="I90" s="683"/>
      <c r="J90" s="685"/>
      <c r="K90" s="844"/>
      <c r="L90" s="686"/>
      <c r="M90" s="670"/>
      <c r="S90" s="681"/>
      <c r="T90" s="681"/>
      <c r="U90" s="681"/>
      <c r="V90" s="681"/>
      <c r="W90" s="687"/>
      <c r="X90" s="8"/>
      <c r="Y90" s="681"/>
      <c r="Z90" s="681"/>
    </row>
    <row r="91" spans="2:26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615</v>
      </c>
      <c r="H92" s="24"/>
      <c r="I92" s="734" t="s">
        <v>616</v>
      </c>
      <c r="J92" s="131"/>
      <c r="K92" s="614" t="s">
        <v>83</v>
      </c>
      <c r="L92" s="686"/>
      <c r="M92" s="670"/>
      <c r="N92" s="681"/>
    </row>
    <row r="93" spans="2:26" s="758" customFormat="1" ht="25" customHeight="1">
      <c r="B93" s="445" t="s">
        <v>535</v>
      </c>
      <c r="C93" s="78"/>
      <c r="D93" s="524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6" s="681" customFormat="1" ht="25" customHeight="1">
      <c r="B94" s="137" t="s">
        <v>494</v>
      </c>
      <c r="C94" s="41"/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6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6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617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967" t="s">
        <v>607</v>
      </c>
      <c r="C112" s="967"/>
      <c r="D112" s="967"/>
      <c r="E112" s="967"/>
      <c r="F112" s="967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3"/>
      <c r="H113" s="684"/>
      <c r="I113" s="683"/>
      <c r="J113" s="685"/>
      <c r="K113" s="844"/>
      <c r="L113" s="686"/>
      <c r="M113" s="670"/>
      <c r="S113" s="681"/>
      <c r="T113" s="681"/>
      <c r="U113" s="681"/>
      <c r="V113" s="681"/>
      <c r="W113" s="687"/>
      <c r="X113" s="8"/>
      <c r="Y113" s="681"/>
      <c r="Z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286</v>
      </c>
      <c r="F115" s="775"/>
      <c r="G115" s="24" t="s">
        <v>619</v>
      </c>
      <c r="H115" s="24"/>
      <c r="I115" s="734" t="s">
        <v>611</v>
      </c>
      <c r="J115" s="734" t="s">
        <v>620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625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967" t="s">
        <v>663</v>
      </c>
      <c r="C127" s="967"/>
      <c r="D127" s="967"/>
      <c r="E127" s="967"/>
      <c r="F127" s="967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650</v>
      </c>
      <c r="C128" s="553"/>
      <c r="D128" s="553"/>
      <c r="E128" s="553"/>
      <c r="F128" s="133"/>
      <c r="G128" s="683"/>
      <c r="H128" s="684"/>
      <c r="I128" s="683"/>
      <c r="J128" s="685"/>
      <c r="K128" s="844"/>
      <c r="L128" s="686"/>
      <c r="M128" s="670"/>
      <c r="S128" s="681"/>
      <c r="T128" s="681"/>
      <c r="U128" s="681"/>
      <c r="V128" s="681"/>
      <c r="W128" s="687"/>
      <c r="X128" s="8"/>
      <c r="Y128" s="681"/>
      <c r="Z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626</v>
      </c>
      <c r="D130" s="952"/>
      <c r="E130" s="952" t="s">
        <v>627</v>
      </c>
      <c r="F130" s="952"/>
      <c r="G130" s="952" t="s">
        <v>286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649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628</v>
      </c>
      <c r="D132" s="959"/>
      <c r="E132" s="961" t="s">
        <v>629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292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967" t="s">
        <v>607</v>
      </c>
      <c r="C140" s="967"/>
      <c r="D140" s="967"/>
      <c r="E140" s="967"/>
      <c r="F140" s="967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1043"/>
      <c r="C141" s="1043"/>
      <c r="D141" s="1043"/>
      <c r="E141" s="1043"/>
      <c r="F141" s="1043"/>
      <c r="G141" s="683"/>
      <c r="H141" s="684"/>
      <c r="I141" s="683"/>
      <c r="J141" s="685"/>
      <c r="K141" s="844"/>
      <c r="L141" s="683"/>
      <c r="M141" s="670"/>
    </row>
    <row r="142" spans="2:32" s="4" customFormat="1" ht="25" customHeight="1">
      <c r="B142" s="465"/>
      <c r="C142" s="133"/>
      <c r="D142" s="133"/>
      <c r="E142" s="133"/>
      <c r="F142" s="133"/>
      <c r="G142" s="683"/>
      <c r="H142" s="684"/>
      <c r="I142" s="683"/>
      <c r="J142" s="685"/>
      <c r="K142" s="844"/>
      <c r="L142" s="683"/>
      <c r="M142" s="670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3"/>
      <c r="H143" s="683"/>
      <c r="I143" s="683"/>
      <c r="J143" s="685"/>
      <c r="K143" s="844"/>
      <c r="L143" s="683"/>
      <c r="M143" s="670"/>
      <c r="N143" s="681"/>
      <c r="O143" s="681"/>
      <c r="P143" s="681"/>
      <c r="Q143" s="681"/>
      <c r="R143" s="681"/>
      <c r="S143" s="681"/>
    </row>
    <row r="144" spans="2:32" ht="25" customHeight="1">
      <c r="B144" s="630" t="s">
        <v>630</v>
      </c>
      <c r="M144" s="670"/>
    </row>
    <row r="145" spans="2:18" ht="25" customHeight="1">
      <c r="B145" s="470" t="s">
        <v>208</v>
      </c>
      <c r="C145" s="23" t="s">
        <v>631</v>
      </c>
      <c r="D145" s="23"/>
      <c r="E145" s="24" t="s">
        <v>276</v>
      </c>
      <c r="F145" s="24"/>
      <c r="G145" s="24"/>
      <c r="H145" s="24"/>
      <c r="I145" s="24"/>
      <c r="J145" s="23" t="s">
        <v>633</v>
      </c>
      <c r="K145" s="614" t="s">
        <v>269</v>
      </c>
      <c r="L145" s="13"/>
      <c r="M145" s="670"/>
      <c r="N145" s="74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6" t="s">
        <v>107</v>
      </c>
      <c r="K146" s="838">
        <f>NET_publicv4_SEK</f>
        <v>25</v>
      </c>
      <c r="M146" s="670"/>
      <c r="N146" s="74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77"/>
      <c r="G147" s="777"/>
      <c r="H147" s="777"/>
      <c r="I147" s="777"/>
      <c r="J147" s="778" t="s">
        <v>94</v>
      </c>
      <c r="K147" s="556">
        <f>NET_publicv6_SEK</f>
        <v>0</v>
      </c>
      <c r="M147" s="670"/>
      <c r="N147" s="74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76" t="s">
        <v>69</v>
      </c>
      <c r="K148" s="557">
        <f>NET_ingress_SEK</f>
        <v>0</v>
      </c>
      <c r="M148" s="670"/>
      <c r="N148" s="74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77"/>
      <c r="G149" s="777"/>
      <c r="H149" s="777"/>
      <c r="I149" s="777"/>
      <c r="J149" s="779" t="s">
        <v>69</v>
      </c>
      <c r="K149" s="556">
        <f>NET_egress_SEK</f>
        <v>0.25</v>
      </c>
      <c r="M149" s="670"/>
      <c r="N149" s="74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632</v>
      </c>
      <c r="F150" s="37"/>
      <c r="G150" s="37"/>
      <c r="H150" s="37"/>
      <c r="I150" s="37"/>
      <c r="J150" s="776" t="s">
        <v>240</v>
      </c>
      <c r="K150" s="557" t="s">
        <v>634</v>
      </c>
      <c r="M150" s="670"/>
    </row>
    <row r="151" spans="2:18" ht="25" customHeight="1">
      <c r="B151" s="137" t="s">
        <v>505</v>
      </c>
      <c r="C151" s="130" t="s">
        <v>118</v>
      </c>
      <c r="D151" s="130"/>
      <c r="E151" s="41"/>
      <c r="F151" s="777"/>
      <c r="G151" s="777"/>
      <c r="H151" s="777"/>
      <c r="I151" s="777"/>
      <c r="J151" s="778" t="s">
        <v>94</v>
      </c>
      <c r="K151" s="556">
        <f>NET_rdns_SEK</f>
        <v>0</v>
      </c>
      <c r="M151" s="670"/>
      <c r="N151" s="74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81" t="s">
        <v>94</v>
      </c>
      <c r="K152" s="557">
        <v>0</v>
      </c>
      <c r="M152" s="670"/>
      <c r="N152" s="74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66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C155" s="43"/>
      <c r="J155" s="43"/>
      <c r="M155" s="670"/>
      <c r="N155" s="74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82"/>
      <c r="M156" s="670"/>
      <c r="N156" s="748"/>
      <c r="O156" s="8"/>
    </row>
    <row r="157" spans="2:18" ht="25" customHeight="1">
      <c r="B157" s="630" t="s">
        <v>635</v>
      </c>
      <c r="M157" s="670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633</v>
      </c>
      <c r="K158" s="614" t="s">
        <v>269</v>
      </c>
      <c r="M158" s="670"/>
      <c r="N158" s="74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76" t="s">
        <v>10</v>
      </c>
      <c r="K159" s="838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7" t="s">
        <v>508</v>
      </c>
      <c r="C160" s="130"/>
      <c r="D160" s="38"/>
      <c r="E160" s="38" t="s">
        <v>125</v>
      </c>
      <c r="F160" s="777"/>
      <c r="G160" s="777"/>
      <c r="H160" s="777"/>
      <c r="I160" s="777"/>
      <c r="J160" s="779" t="s">
        <v>10</v>
      </c>
      <c r="K160" s="839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4" t="s">
        <v>664</v>
      </c>
      <c r="C161" s="129"/>
      <c r="D161" s="30"/>
      <c r="E161" s="30" t="s">
        <v>665</v>
      </c>
      <c r="F161" s="30"/>
      <c r="G161" s="30"/>
      <c r="H161" s="30"/>
      <c r="I161" s="30"/>
      <c r="J161" s="776" t="s">
        <v>10</v>
      </c>
      <c r="K161" s="838">
        <f>SW_win.ser.201X_SEK</f>
        <v>78</v>
      </c>
      <c r="L161" s="746"/>
      <c r="M161" s="670"/>
      <c r="N161" s="748"/>
      <c r="O161" s="8"/>
      <c r="Q161" s="681"/>
      <c r="R161" s="681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77"/>
      <c r="G162" s="777"/>
      <c r="H162" s="777"/>
      <c r="I162" s="777"/>
      <c r="J162" s="779" t="s">
        <v>10</v>
      </c>
      <c r="K162" s="839">
        <f>SW_ms.sql.ser_SEK</f>
        <v>1498</v>
      </c>
      <c r="M162" s="670"/>
      <c r="N162" s="74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76" t="s">
        <v>94</v>
      </c>
      <c r="K163" s="838" t="s">
        <v>634</v>
      </c>
      <c r="L163" s="746"/>
      <c r="M163" s="670"/>
      <c r="N163" s="748"/>
      <c r="O163" s="8"/>
      <c r="Q163" s="681"/>
      <c r="R163" s="681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77"/>
      <c r="G164" s="777"/>
      <c r="H164" s="777"/>
      <c r="I164" s="777"/>
      <c r="J164" s="779" t="s">
        <v>94</v>
      </c>
      <c r="K164" s="839" t="s">
        <v>634</v>
      </c>
      <c r="M164" s="670"/>
      <c r="N164" s="74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76" t="s">
        <v>94</v>
      </c>
      <c r="K165" s="838" t="str">
        <f>SW_cluster.control_SEK</f>
        <v>3x instanspris</v>
      </c>
      <c r="M165" s="670"/>
      <c r="N165" s="74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77"/>
      <c r="G166" s="777"/>
      <c r="H166" s="777"/>
      <c r="I166" s="777"/>
      <c r="J166" s="779" t="s">
        <v>138</v>
      </c>
      <c r="K166" s="839">
        <f>SW_backup.ninja_SEK</f>
        <v>400</v>
      </c>
      <c r="M166" s="670"/>
      <c r="N166" s="748"/>
      <c r="O166" s="8"/>
    </row>
    <row r="167" spans="2:18" ht="25" customHeight="1">
      <c r="B167" s="106"/>
      <c r="C167" s="103"/>
      <c r="D167" s="104"/>
      <c r="E167" s="105"/>
      <c r="F167" s="783"/>
      <c r="G167" s="783"/>
      <c r="H167" s="783"/>
      <c r="I167" s="783"/>
      <c r="J167" s="784"/>
      <c r="K167" s="867"/>
      <c r="M167" s="670"/>
      <c r="N167" s="748"/>
      <c r="O167" s="8"/>
    </row>
    <row r="168" spans="2:18" ht="25" customHeight="1">
      <c r="B168" s="137"/>
      <c r="C168" s="130"/>
      <c r="D168" s="41"/>
      <c r="E168" s="31"/>
      <c r="F168" s="777"/>
      <c r="G168" s="777"/>
      <c r="H168" s="777"/>
      <c r="I168" s="777"/>
      <c r="J168" s="785"/>
      <c r="K168" s="556"/>
      <c r="M168" s="670"/>
      <c r="N168" s="748"/>
      <c r="O168" s="8"/>
    </row>
    <row r="169" spans="2:18" ht="25" customHeight="1">
      <c r="M169" s="670"/>
      <c r="N169" s="748"/>
      <c r="O169" s="8"/>
    </row>
    <row r="170" spans="2:18" ht="25" customHeight="1">
      <c r="B170" s="651" t="s">
        <v>636</v>
      </c>
      <c r="C170" s="13"/>
      <c r="D170" s="13"/>
      <c r="F170" s="13"/>
      <c r="G170" s="13"/>
      <c r="H170" s="13"/>
      <c r="I170" s="13"/>
      <c r="J170" s="13"/>
      <c r="M170" s="670"/>
      <c r="N170" s="748"/>
      <c r="O170" s="8"/>
    </row>
    <row r="171" spans="2:18" ht="25" customHeight="1">
      <c r="B171" s="630" t="s">
        <v>637</v>
      </c>
      <c r="M171" s="670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70"/>
      <c r="N172" s="74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8">
        <f>PAAS_man.kubernetes_SEK</f>
        <v>24000</v>
      </c>
      <c r="M173" s="670"/>
      <c r="N173" s="74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77"/>
      <c r="G174" s="777"/>
      <c r="H174" s="777"/>
      <c r="I174" s="777"/>
      <c r="J174" s="785"/>
      <c r="K174" s="839">
        <f>PAAS_man.postgres.sql_SEK</f>
        <v>15000</v>
      </c>
      <c r="M174" s="670"/>
      <c r="N174" s="74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634</v>
      </c>
      <c r="M175" s="670"/>
      <c r="N175" s="74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77"/>
      <c r="G176" s="777"/>
      <c r="H176" s="777"/>
      <c r="I176" s="777"/>
      <c r="J176" s="785"/>
      <c r="K176" s="556">
        <f>PAAS_openshift_SEK</f>
        <v>0</v>
      </c>
      <c r="M176" s="670"/>
      <c r="N176" s="748"/>
      <c r="O176" s="8"/>
    </row>
    <row r="177" spans="2:15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634</v>
      </c>
      <c r="M177" s="670"/>
      <c r="N177" s="748"/>
      <c r="O177" s="8"/>
    </row>
    <row r="178" spans="2:15" ht="25" customHeight="1">
      <c r="B178" s="137" t="s">
        <v>518</v>
      </c>
      <c r="C178" s="130"/>
      <c r="D178" s="38"/>
      <c r="E178" s="38" t="s">
        <v>150</v>
      </c>
      <c r="F178" s="777"/>
      <c r="G178" s="777"/>
      <c r="H178" s="777"/>
      <c r="I178" s="777"/>
      <c r="J178" s="785"/>
      <c r="K178" s="556" t="s">
        <v>634</v>
      </c>
      <c r="M178" s="670"/>
      <c r="N178" s="748"/>
      <c r="O178" s="8"/>
    </row>
    <row r="179" spans="2:15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634</v>
      </c>
      <c r="M179" s="670"/>
      <c r="N179" s="748"/>
      <c r="O179" s="8"/>
    </row>
    <row r="180" spans="2:15" ht="25" customHeight="1">
      <c r="B180" s="137" t="s">
        <v>677</v>
      </c>
      <c r="C180" s="130"/>
      <c r="D180" s="38"/>
      <c r="E180" s="38" t="s">
        <v>672</v>
      </c>
      <c r="F180" s="777"/>
      <c r="G180" s="777"/>
      <c r="H180" s="777"/>
      <c r="I180" s="777"/>
      <c r="J180" s="785"/>
      <c r="K180" s="947">
        <v>27990</v>
      </c>
      <c r="M180" s="670"/>
      <c r="N180" s="748"/>
      <c r="O180" s="8"/>
    </row>
    <row r="181" spans="2:15" ht="25" customHeight="1">
      <c r="B181" s="948" t="s">
        <v>679</v>
      </c>
      <c r="C181" s="129"/>
      <c r="D181" s="30"/>
      <c r="E181" s="30" t="s">
        <v>673</v>
      </c>
      <c r="F181" s="30"/>
      <c r="G181" s="30"/>
      <c r="H181" s="30"/>
      <c r="I181" s="30"/>
      <c r="J181" s="40"/>
      <c r="K181" s="740">
        <v>100</v>
      </c>
      <c r="M181" s="670"/>
      <c r="N181" s="748"/>
      <c r="O181" s="8"/>
    </row>
    <row r="182" spans="2:15" ht="25" customHeight="1">
      <c r="B182" s="949" t="s">
        <v>678</v>
      </c>
      <c r="C182" s="130"/>
      <c r="D182" s="38"/>
      <c r="E182" s="38" t="s">
        <v>674</v>
      </c>
      <c r="F182" s="777"/>
      <c r="G182" s="777"/>
      <c r="H182" s="777"/>
      <c r="I182" s="777" t="s">
        <v>675</v>
      </c>
      <c r="J182" s="785"/>
      <c r="K182" s="947">
        <v>22080</v>
      </c>
      <c r="M182" s="670"/>
      <c r="N182" s="748"/>
      <c r="O182" s="8"/>
    </row>
    <row r="183" spans="2:15" ht="25" customHeight="1">
      <c r="B183" s="134" t="s">
        <v>680</v>
      </c>
      <c r="C183" s="129"/>
      <c r="D183" s="30"/>
      <c r="E183" s="30" t="s">
        <v>676</v>
      </c>
      <c r="F183" s="30"/>
      <c r="G183" s="30"/>
      <c r="H183" s="30"/>
      <c r="I183" s="30"/>
      <c r="J183" s="40"/>
      <c r="K183" s="740">
        <v>4520</v>
      </c>
      <c r="M183" s="670"/>
      <c r="N183" s="748"/>
      <c r="O183" s="8"/>
    </row>
    <row r="184" spans="2:15" ht="25" customHeight="1">
      <c r="B184" s="106"/>
      <c r="C184" s="103"/>
      <c r="D184" s="397"/>
      <c r="E184" s="105"/>
      <c r="F184" s="783"/>
      <c r="G184" s="783"/>
      <c r="H184" s="783"/>
      <c r="I184" s="783"/>
      <c r="J184" s="784"/>
      <c r="K184" s="867"/>
      <c r="M184" s="670"/>
      <c r="N184" s="748"/>
      <c r="O184" s="8"/>
    </row>
    <row r="185" spans="2:15" ht="25" customHeight="1">
      <c r="B185" s="137"/>
      <c r="C185" s="130"/>
      <c r="D185" s="38"/>
      <c r="E185" s="31"/>
      <c r="F185" s="777"/>
      <c r="G185" s="785"/>
      <c r="H185" s="779"/>
      <c r="I185" s="441"/>
      <c r="M185" s="670"/>
    </row>
    <row r="186" spans="2:15" ht="25" customHeight="1">
      <c r="B186" s="417"/>
      <c r="C186" s="26"/>
      <c r="D186" s="26"/>
      <c r="E186" s="26"/>
      <c r="F186" s="766"/>
      <c r="G186" s="767"/>
      <c r="H186" s="26"/>
      <c r="I186" s="746"/>
      <c r="J186" s="746"/>
      <c r="K186" s="856"/>
      <c r="L186" s="748"/>
      <c r="M186" s="670"/>
      <c r="N186" s="681"/>
      <c r="O186" s="681"/>
    </row>
    <row r="187" spans="2:15" s="4" customFormat="1" ht="25" customHeight="1">
      <c r="B187" s="951" t="s">
        <v>300</v>
      </c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15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15" s="4" customFormat="1" ht="25" customHeight="1">
      <c r="B189" s="951"/>
      <c r="C189" s="951"/>
      <c r="D189" s="951"/>
      <c r="E189" s="951"/>
      <c r="F189" s="951"/>
      <c r="G189" s="951"/>
      <c r="H189" s="786"/>
      <c r="J189" s="680"/>
      <c r="K189" s="843"/>
      <c r="M189" s="670"/>
    </row>
    <row r="190" spans="2:15" s="4" customFormat="1" ht="25" customHeight="1">
      <c r="B190" s="972" t="s">
        <v>638</v>
      </c>
      <c r="C190" s="972"/>
      <c r="D190" s="972"/>
      <c r="E190" s="972"/>
      <c r="F190" s="972"/>
      <c r="H190" s="786"/>
      <c r="J190" s="680"/>
      <c r="K190" s="843"/>
      <c r="M190" s="670"/>
    </row>
    <row r="191" spans="2:15" s="4" customFormat="1" ht="25" customHeight="1">
      <c r="B191" s="967" t="s">
        <v>420</v>
      </c>
      <c r="C191" s="967"/>
      <c r="D191" s="967"/>
      <c r="E191" s="967"/>
      <c r="F191" s="967"/>
      <c r="G191" s="683"/>
      <c r="H191" s="684"/>
      <c r="I191" s="683"/>
      <c r="J191" s="685"/>
      <c r="K191" s="844"/>
      <c r="L191" s="683"/>
      <c r="M191" s="670"/>
    </row>
    <row r="192" spans="2:15" s="4" customFormat="1" ht="25" customHeight="1">
      <c r="B192" s="465"/>
      <c r="C192" s="133"/>
      <c r="D192" s="133"/>
      <c r="E192" s="133"/>
      <c r="F192" s="133"/>
      <c r="G192" s="683"/>
      <c r="H192" s="684"/>
      <c r="I192" s="683"/>
      <c r="J192" s="685"/>
      <c r="K192" s="844"/>
      <c r="L192" s="683"/>
      <c r="M192" s="670"/>
    </row>
    <row r="193" spans="2:20" ht="25" customHeight="1">
      <c r="B193" s="651" t="s">
        <v>152</v>
      </c>
      <c r="C193" s="13"/>
      <c r="D193" s="13"/>
      <c r="F193" s="13"/>
      <c r="G193" s="13"/>
      <c r="H193" s="13"/>
      <c r="I193" s="13"/>
      <c r="J193" s="13"/>
      <c r="K193" s="868"/>
      <c r="L193" s="13"/>
      <c r="M193" s="670"/>
      <c r="O193" s="748"/>
      <c r="P193" s="748"/>
      <c r="Q193" s="8"/>
      <c r="S193" s="681"/>
      <c r="T193" s="681"/>
    </row>
    <row r="194" spans="2:20" ht="25" customHeight="1">
      <c r="B194" s="630" t="s">
        <v>639</v>
      </c>
      <c r="M194" s="670"/>
    </row>
    <row r="195" spans="2:20" ht="25" customHeight="1">
      <c r="B195" s="470" t="s">
        <v>208</v>
      </c>
      <c r="C195" s="23"/>
      <c r="D195" s="24" t="s">
        <v>276</v>
      </c>
      <c r="E195" s="132"/>
      <c r="F195" s="24"/>
      <c r="G195" s="131"/>
      <c r="H195" s="131"/>
      <c r="I195" s="23" t="s">
        <v>633</v>
      </c>
      <c r="J195" s="23"/>
      <c r="K195" s="614" t="s">
        <v>92</v>
      </c>
      <c r="L195" s="746"/>
      <c r="M195" s="670"/>
      <c r="N195" s="748"/>
      <c r="O195" s="8"/>
      <c r="Q195" s="681"/>
      <c r="R195" s="681"/>
    </row>
    <row r="196" spans="2:20" ht="25" customHeight="1">
      <c r="B196" s="134" t="s">
        <v>519</v>
      </c>
      <c r="C196" s="129"/>
      <c r="D196" s="30" t="s">
        <v>421</v>
      </c>
      <c r="E196" s="40"/>
      <c r="F196" s="30"/>
      <c r="G196" s="40"/>
      <c r="H196" s="40"/>
      <c r="I196" s="781" t="s">
        <v>94</v>
      </c>
      <c r="J196" s="781"/>
      <c r="K196" s="557">
        <v>0</v>
      </c>
      <c r="L196" s="746"/>
      <c r="M196" s="670"/>
      <c r="N196" s="748"/>
      <c r="O196" s="8"/>
      <c r="Q196" s="681"/>
      <c r="R196" s="681"/>
    </row>
    <row r="197" spans="2:20" ht="25" customHeight="1">
      <c r="B197" s="137" t="s">
        <v>520</v>
      </c>
      <c r="C197" s="130"/>
      <c r="D197" s="38" t="s">
        <v>156</v>
      </c>
      <c r="E197" s="31"/>
      <c r="F197" s="777"/>
      <c r="G197" s="785"/>
      <c r="H197" s="785"/>
      <c r="I197" s="779" t="s">
        <v>245</v>
      </c>
      <c r="J197" s="779"/>
      <c r="K197" s="556" t="s">
        <v>640</v>
      </c>
      <c r="L197" s="746"/>
      <c r="M197" s="670"/>
      <c r="N197" s="748"/>
      <c r="O197" s="8"/>
      <c r="Q197" s="681"/>
      <c r="R197" s="681"/>
    </row>
    <row r="198" spans="2:20" ht="25" customHeight="1">
      <c r="B198" s="134" t="s">
        <v>521</v>
      </c>
      <c r="C198" s="129"/>
      <c r="D198" s="30" t="s">
        <v>160</v>
      </c>
      <c r="E198" s="129"/>
      <c r="F198" s="129"/>
      <c r="G198" s="129"/>
      <c r="H198" s="40"/>
      <c r="I198" s="776" t="s">
        <v>247</v>
      </c>
      <c r="J198" s="776"/>
      <c r="K198" s="557" t="s">
        <v>634</v>
      </c>
      <c r="L198" s="746"/>
      <c r="M198" s="670"/>
      <c r="N198" s="748"/>
      <c r="O198" s="8"/>
      <c r="Q198" s="681"/>
      <c r="R198" s="681"/>
    </row>
    <row r="199" spans="2:20" ht="25" customHeight="1">
      <c r="B199" s="106"/>
      <c r="C199" s="103"/>
      <c r="D199" s="103"/>
      <c r="E199" s="105"/>
      <c r="F199" s="783"/>
      <c r="G199" s="784"/>
      <c r="H199" s="784"/>
      <c r="I199" s="787"/>
      <c r="J199" s="787"/>
      <c r="K199" s="867"/>
      <c r="L199" s="746"/>
      <c r="M199" s="670"/>
      <c r="N199" s="748"/>
      <c r="O199" s="8"/>
      <c r="Q199" s="681"/>
      <c r="R199" s="681"/>
    </row>
    <row r="200" spans="2:20" ht="25" customHeight="1">
      <c r="B200" s="137"/>
      <c r="C200" s="130"/>
      <c r="D200" s="38"/>
      <c r="E200" s="31"/>
      <c r="F200" s="777"/>
      <c r="G200" s="785"/>
      <c r="H200" s="785"/>
      <c r="I200" s="779"/>
      <c r="J200" s="779"/>
      <c r="K200" s="556"/>
      <c r="L200" s="746"/>
      <c r="M200" s="670"/>
      <c r="N200" s="748"/>
      <c r="O200" s="8"/>
      <c r="Q200" s="681"/>
      <c r="R200" s="681"/>
    </row>
    <row r="201" spans="2:20" s="653" customFormat="1" ht="25" customHeight="1">
      <c r="B201" s="651" t="s">
        <v>641</v>
      </c>
      <c r="C201" s="888"/>
      <c r="D201" s="888"/>
      <c r="F201" s="888"/>
      <c r="G201" s="888"/>
      <c r="H201" s="888"/>
      <c r="I201" s="889"/>
      <c r="J201" s="889"/>
      <c r="K201" s="710"/>
      <c r="L201" s="890"/>
      <c r="M201" s="670"/>
      <c r="N201" s="891"/>
      <c r="O201" s="892"/>
      <c r="Q201" s="892"/>
      <c r="R201" s="892"/>
    </row>
    <row r="202" spans="2:20" ht="25" customHeight="1">
      <c r="B202" s="630" t="s">
        <v>642</v>
      </c>
      <c r="M202" s="670"/>
    </row>
    <row r="203" spans="2:20" ht="25" customHeight="1">
      <c r="B203" s="470" t="s">
        <v>208</v>
      </c>
      <c r="C203" s="23"/>
      <c r="D203" s="24" t="s">
        <v>276</v>
      </c>
      <c r="E203" s="132"/>
      <c r="F203" s="24"/>
      <c r="G203" s="131"/>
      <c r="H203" s="131"/>
      <c r="I203" s="23" t="s">
        <v>633</v>
      </c>
      <c r="J203" s="23"/>
      <c r="K203" s="614" t="s">
        <v>92</v>
      </c>
      <c r="L203" s="746"/>
      <c r="M203" s="670"/>
      <c r="N203" s="748"/>
      <c r="O203" s="8"/>
      <c r="Q203" s="681"/>
      <c r="R203" s="681"/>
    </row>
    <row r="204" spans="2:20" ht="25" customHeight="1">
      <c r="B204" s="134" t="s">
        <v>522</v>
      </c>
      <c r="C204" s="129"/>
      <c r="D204" s="30" t="s">
        <v>166</v>
      </c>
      <c r="E204" s="40"/>
      <c r="F204" s="30"/>
      <c r="G204" s="40"/>
      <c r="H204" s="40"/>
      <c r="I204" s="776" t="s">
        <v>247</v>
      </c>
      <c r="J204" s="776"/>
      <c r="K204" s="631">
        <f>PS_consult.jun_SEK</f>
        <v>1127</v>
      </c>
      <c r="L204" s="746"/>
      <c r="M204" s="670"/>
      <c r="N204" s="748"/>
      <c r="O204" s="8"/>
      <c r="Q204" s="681"/>
      <c r="R204" s="681"/>
    </row>
    <row r="205" spans="2:20" ht="25" customHeight="1">
      <c r="B205" s="137" t="s">
        <v>523</v>
      </c>
      <c r="C205" s="130"/>
      <c r="D205" s="38" t="s">
        <v>168</v>
      </c>
      <c r="E205" s="31"/>
      <c r="F205" s="777"/>
      <c r="G205" s="785"/>
      <c r="H205" s="785"/>
      <c r="I205" s="779" t="s">
        <v>247</v>
      </c>
      <c r="J205" s="779"/>
      <c r="K205" s="877">
        <f>PS_consult.sen_SEK</f>
        <v>1374</v>
      </c>
      <c r="L205" s="746"/>
      <c r="M205" s="670"/>
      <c r="N205" s="748"/>
      <c r="O205" s="8"/>
      <c r="Q205" s="681"/>
      <c r="R205" s="681"/>
    </row>
    <row r="206" spans="2:20" ht="25" customHeight="1">
      <c r="B206" s="134" t="s">
        <v>524</v>
      </c>
      <c r="C206" s="129"/>
      <c r="D206" s="30" t="s">
        <v>170</v>
      </c>
      <c r="E206" s="40"/>
      <c r="F206" s="30"/>
      <c r="G206" s="40"/>
      <c r="H206" s="40"/>
      <c r="I206" s="776" t="s">
        <v>247</v>
      </c>
      <c r="J206" s="776"/>
      <c r="K206" s="631">
        <f>PS_cloudarch.jun_SEK</f>
        <v>1277</v>
      </c>
      <c r="L206" s="746"/>
      <c r="M206" s="670"/>
      <c r="N206" s="748"/>
      <c r="O206" s="8"/>
      <c r="Q206" s="681"/>
      <c r="R206" s="681"/>
    </row>
    <row r="207" spans="2:20" ht="25" customHeight="1">
      <c r="B207" s="137" t="s">
        <v>525</v>
      </c>
      <c r="C207" s="130"/>
      <c r="D207" s="38" t="s">
        <v>172</v>
      </c>
      <c r="E207" s="38"/>
      <c r="F207" s="38"/>
      <c r="G207" s="785"/>
      <c r="H207" s="785"/>
      <c r="I207" s="779" t="s">
        <v>247</v>
      </c>
      <c r="J207" s="779"/>
      <c r="K207" s="877">
        <f>PS_cloudarch.sen_SEK</f>
        <v>1374</v>
      </c>
      <c r="L207" s="746"/>
      <c r="M207" s="670"/>
      <c r="N207" s="748"/>
      <c r="O207" s="8"/>
      <c r="Q207" s="681"/>
      <c r="R207" s="681"/>
    </row>
    <row r="208" spans="2:20" ht="25" customHeight="1">
      <c r="B208" s="134" t="s">
        <v>526</v>
      </c>
      <c r="C208" s="129"/>
      <c r="D208" s="30" t="s">
        <v>174</v>
      </c>
      <c r="E208" s="40"/>
      <c r="F208" s="30"/>
      <c r="G208" s="40"/>
      <c r="H208" s="40"/>
      <c r="I208" s="776" t="s">
        <v>247</v>
      </c>
      <c r="J208" s="776"/>
      <c r="K208" s="631">
        <f>PS_pm.jun_SEK</f>
        <v>1139</v>
      </c>
      <c r="L208" s="746"/>
      <c r="M208" s="670"/>
      <c r="N208" s="748"/>
      <c r="O208" s="8"/>
      <c r="Q208" s="681"/>
      <c r="R208" s="681"/>
    </row>
    <row r="209" spans="1:18" ht="25" customHeight="1">
      <c r="B209" s="137" t="s">
        <v>527</v>
      </c>
      <c r="C209" s="130"/>
      <c r="D209" s="38" t="s">
        <v>176</v>
      </c>
      <c r="E209" s="31"/>
      <c r="F209" s="777"/>
      <c r="G209" s="785"/>
      <c r="H209" s="785"/>
      <c r="I209" s="779" t="s">
        <v>247</v>
      </c>
      <c r="J209" s="779"/>
      <c r="K209" s="877">
        <f>PS_pm.sen_SEK</f>
        <v>1374</v>
      </c>
      <c r="L209" s="746"/>
      <c r="M209" s="670"/>
      <c r="N209" s="748"/>
      <c r="O209" s="8"/>
      <c r="Q209" s="681"/>
      <c r="R209" s="681"/>
    </row>
    <row r="210" spans="1:18" ht="25" customHeight="1">
      <c r="B210" s="106"/>
      <c r="C210" s="103"/>
      <c r="D210" s="397"/>
      <c r="E210" s="105"/>
      <c r="F210" s="783"/>
      <c r="G210" s="784"/>
      <c r="H210" s="784"/>
      <c r="I210" s="787"/>
      <c r="J210" s="787"/>
      <c r="K210" s="867"/>
      <c r="L210" s="746"/>
      <c r="M210" s="670"/>
      <c r="N210" s="748"/>
      <c r="O210" s="8"/>
      <c r="Q210" s="681"/>
      <c r="R210" s="681"/>
    </row>
    <row r="211" spans="1:18" ht="25" customHeight="1">
      <c r="B211" s="137"/>
      <c r="C211" s="130"/>
      <c r="D211" s="38"/>
      <c r="E211" s="31"/>
      <c r="F211" s="777"/>
      <c r="G211" s="785"/>
      <c r="H211" s="785"/>
      <c r="I211" s="779"/>
      <c r="J211" s="779"/>
      <c r="K211" s="556"/>
      <c r="M211" s="670"/>
      <c r="N211" s="748"/>
      <c r="O211" s="8"/>
    </row>
    <row r="212" spans="1:18" ht="25" customHeight="1">
      <c r="B212" s="651" t="s">
        <v>251</v>
      </c>
      <c r="C212" s="13"/>
      <c r="D212" s="13"/>
      <c r="F212" s="13"/>
      <c r="G212" s="13"/>
      <c r="H212" s="13"/>
      <c r="I212" s="782"/>
      <c r="J212" s="782"/>
      <c r="L212" s="746"/>
      <c r="M212" s="670"/>
      <c r="N212" s="748"/>
      <c r="O212" s="8"/>
      <c r="Q212" s="681"/>
      <c r="R212" s="681"/>
    </row>
    <row r="213" spans="1:18" ht="25" customHeight="1">
      <c r="B213" s="630" t="s">
        <v>643</v>
      </c>
      <c r="M213" s="670"/>
    </row>
    <row r="214" spans="1:18" ht="25" customHeight="1">
      <c r="B214" s="470" t="s">
        <v>208</v>
      </c>
      <c r="C214" s="23"/>
      <c r="D214" s="24" t="s">
        <v>276</v>
      </c>
      <c r="E214" s="132"/>
      <c r="F214" s="24"/>
      <c r="G214" s="23" t="s">
        <v>252</v>
      </c>
      <c r="H214" s="23"/>
      <c r="I214" s="23" t="s">
        <v>633</v>
      </c>
      <c r="J214" s="23"/>
      <c r="K214" s="614" t="s">
        <v>92</v>
      </c>
      <c r="L214" s="746"/>
      <c r="M214" s="670"/>
      <c r="N214" s="748"/>
      <c r="O214" s="8"/>
      <c r="Q214" s="681"/>
      <c r="R214" s="681"/>
    </row>
    <row r="215" spans="1:18" ht="25" customHeight="1">
      <c r="B215" s="134" t="s">
        <v>528</v>
      </c>
      <c r="C215" s="129"/>
      <c r="D215" s="30" t="s">
        <v>253</v>
      </c>
      <c r="E215" s="40"/>
      <c r="F215" s="30"/>
      <c r="G215" s="776" t="s">
        <v>254</v>
      </c>
      <c r="H215" s="776"/>
      <c r="I215" s="776" t="s">
        <v>308</v>
      </c>
      <c r="J215" s="776"/>
      <c r="K215" s="557" t="s">
        <v>634</v>
      </c>
      <c r="L215" s="746"/>
      <c r="M215" s="670"/>
      <c r="N215" s="748"/>
      <c r="O215" s="8"/>
      <c r="Q215" s="681"/>
      <c r="R215" s="681"/>
    </row>
    <row r="216" spans="1:18" ht="25" customHeight="1">
      <c r="B216" s="137" t="s">
        <v>529</v>
      </c>
      <c r="C216" s="130"/>
      <c r="D216" s="38" t="s">
        <v>256</v>
      </c>
      <c r="E216" s="31"/>
      <c r="F216" s="777"/>
      <c r="G216" s="779" t="s">
        <v>254</v>
      </c>
      <c r="H216" s="779"/>
      <c r="I216" s="779" t="s">
        <v>308</v>
      </c>
      <c r="J216" s="779"/>
      <c r="K216" s="556" t="s">
        <v>634</v>
      </c>
      <c r="L216" s="746"/>
      <c r="M216" s="670"/>
      <c r="N216" s="748"/>
      <c r="O216" s="8"/>
      <c r="Q216" s="681"/>
      <c r="R216" s="681"/>
    </row>
    <row r="217" spans="1:18" ht="25" customHeight="1">
      <c r="B217" s="134" t="s">
        <v>530</v>
      </c>
      <c r="C217" s="129"/>
      <c r="D217" s="30" t="s">
        <v>257</v>
      </c>
      <c r="E217" s="40"/>
      <c r="F217" s="30"/>
      <c r="G217" s="776" t="s">
        <v>644</v>
      </c>
      <c r="H217" s="776"/>
      <c r="I217" s="776" t="s">
        <v>308</v>
      </c>
      <c r="J217" s="776"/>
      <c r="K217" s="557" t="s">
        <v>634</v>
      </c>
      <c r="L217" s="746"/>
      <c r="M217" s="670"/>
      <c r="N217" s="748"/>
      <c r="O217" s="8"/>
      <c r="Q217" s="681"/>
      <c r="R217" s="681"/>
    </row>
    <row r="218" spans="1:18" ht="25" customHeight="1">
      <c r="B218" s="137" t="s">
        <v>531</v>
      </c>
      <c r="C218" s="130"/>
      <c r="D218" s="38" t="s">
        <v>259</v>
      </c>
      <c r="E218" s="31"/>
      <c r="F218" s="777"/>
      <c r="G218" s="779" t="s">
        <v>644</v>
      </c>
      <c r="H218" s="779"/>
      <c r="I218" s="779" t="s">
        <v>308</v>
      </c>
      <c r="J218" s="779"/>
      <c r="K218" s="556" t="s">
        <v>634</v>
      </c>
      <c r="L218" s="746"/>
      <c r="M218" s="670"/>
      <c r="N218" s="748"/>
      <c r="O218" s="8"/>
      <c r="Q218" s="681"/>
      <c r="R218" s="681"/>
    </row>
    <row r="219" spans="1:18" ht="25" customHeight="1">
      <c r="B219" s="106"/>
      <c r="C219" s="103"/>
      <c r="D219" s="397"/>
      <c r="E219" s="105"/>
      <c r="F219" s="783"/>
      <c r="G219" s="784"/>
      <c r="H219" s="784"/>
      <c r="I219" s="784"/>
      <c r="J219" s="784"/>
      <c r="K219" s="867"/>
      <c r="L219" s="746"/>
      <c r="M219" s="670"/>
      <c r="N219" s="748"/>
      <c r="O219" s="8"/>
      <c r="Q219" s="681"/>
      <c r="R219" s="681"/>
    </row>
    <row r="220" spans="1:18" ht="25" customHeight="1">
      <c r="B220" s="417"/>
      <c r="C220" s="26"/>
      <c r="D220" s="26"/>
      <c r="E220" s="26"/>
      <c r="F220" s="766"/>
      <c r="G220" s="767"/>
      <c r="H220" s="746"/>
      <c r="I220" s="746"/>
      <c r="J220" s="746"/>
      <c r="K220" s="857"/>
      <c r="L220" s="748"/>
      <c r="M220" s="670"/>
      <c r="N220" s="681"/>
      <c r="O220" s="681"/>
    </row>
    <row r="221" spans="1:18" ht="25" customHeight="1">
      <c r="A221" s="775"/>
      <c r="B221" s="642"/>
      <c r="C221" s="60"/>
      <c r="D221" s="60"/>
      <c r="E221" s="60"/>
      <c r="F221" s="788"/>
      <c r="G221" s="789"/>
      <c r="H221" s="790"/>
      <c r="I221" s="791"/>
      <c r="J221" s="792"/>
      <c r="K221" s="869"/>
      <c r="L221" s="793"/>
      <c r="M221" s="670"/>
      <c r="N221" s="681"/>
      <c r="O221" s="681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643"/>
      <c r="C224" s="54"/>
      <c r="D224" s="54"/>
      <c r="E224" s="54"/>
      <c r="F224" s="794"/>
      <c r="G224" s="795"/>
      <c r="H224" s="796"/>
      <c r="I224" s="797"/>
      <c r="J224" s="798"/>
      <c r="K224" s="870"/>
      <c r="L224" s="3"/>
      <c r="M224" s="670"/>
    </row>
    <row r="225" spans="1:20" s="4" customFormat="1" ht="25" customHeight="1">
      <c r="A225" s="3"/>
      <c r="B225" s="970" t="s">
        <v>313</v>
      </c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0"/>
      <c r="C227" s="970"/>
      <c r="D227" s="970"/>
      <c r="E227" s="970"/>
      <c r="F227" s="970"/>
      <c r="G227" s="970"/>
      <c r="H227" s="672"/>
      <c r="I227" s="799"/>
      <c r="J227" s="3"/>
      <c r="K227" s="841"/>
      <c r="L227" s="3"/>
      <c r="M227" s="670"/>
    </row>
    <row r="228" spans="1:20" s="4" customFormat="1" ht="25" customHeight="1">
      <c r="A228" s="3"/>
      <c r="B228" s="971" t="s">
        <v>607</v>
      </c>
      <c r="C228" s="971"/>
      <c r="D228" s="971"/>
      <c r="E228" s="971"/>
      <c r="F228" s="971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636"/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22" t="s">
        <v>645</v>
      </c>
      <c r="C230" s="62"/>
      <c r="D230" s="62"/>
      <c r="E230" s="62"/>
      <c r="F230" s="62"/>
      <c r="G230" s="3"/>
      <c r="H230" s="672"/>
      <c r="I230" s="799"/>
      <c r="J230" s="3"/>
      <c r="K230" s="841"/>
      <c r="L230" s="800"/>
      <c r="M230" s="670"/>
    </row>
    <row r="231" spans="1:20" s="4" customFormat="1" ht="25" customHeight="1">
      <c r="A231" s="3"/>
      <c r="B231" s="418" t="s">
        <v>441</v>
      </c>
      <c r="C231" s="62"/>
      <c r="D231" s="62"/>
      <c r="E231" s="62"/>
      <c r="F231" s="62"/>
      <c r="G231" s="3"/>
      <c r="H231" s="672"/>
      <c r="I231" s="3"/>
      <c r="J231" s="673"/>
      <c r="K231" s="841"/>
      <c r="L231" s="800"/>
      <c r="M231" s="670"/>
    </row>
    <row r="232" spans="1:20" s="4" customFormat="1" ht="25" customHeight="1">
      <c r="A232" s="3"/>
      <c r="B232" s="940" t="s">
        <v>3</v>
      </c>
      <c r="C232" s="67"/>
      <c r="D232" s="67"/>
      <c r="E232" s="67"/>
      <c r="F232" s="67"/>
      <c r="G232" s="800"/>
      <c r="H232" s="801"/>
      <c r="I232" s="800"/>
      <c r="J232" s="802"/>
      <c r="K232" s="871"/>
      <c r="L232" s="800"/>
      <c r="M232" s="670"/>
    </row>
    <row r="233" spans="1:20" s="721" customFormat="1" ht="25" customHeight="1">
      <c r="A233" s="803"/>
      <c r="B233" s="893"/>
      <c r="C233" s="135"/>
      <c r="D233" s="135"/>
      <c r="E233" s="135"/>
      <c r="F233" s="135"/>
      <c r="G233" s="800"/>
      <c r="H233" s="801"/>
      <c r="I233" s="800"/>
      <c r="J233" s="802"/>
      <c r="K233" s="871"/>
      <c r="L233" s="803"/>
      <c r="M233" s="670"/>
      <c r="N233" s="804"/>
      <c r="O233" s="735"/>
      <c r="P233" s="735"/>
      <c r="Q233" s="735"/>
      <c r="R233" s="735"/>
      <c r="S233" s="735"/>
      <c r="T233" s="735"/>
    </row>
    <row r="234" spans="1:20" ht="25" customHeight="1">
      <c r="A234" s="2"/>
      <c r="B234" s="644" t="s">
        <v>533</v>
      </c>
      <c r="C234" s="56"/>
      <c r="D234" s="57"/>
      <c r="E234" s="56"/>
      <c r="F234" s="665"/>
      <c r="G234" s="665"/>
      <c r="H234" s="665"/>
      <c r="I234" s="56"/>
      <c r="J234" s="665" t="s">
        <v>313</v>
      </c>
      <c r="K234" s="872"/>
      <c r="L234" s="805"/>
      <c r="M234" s="670"/>
      <c r="N234" s="28"/>
    </row>
    <row r="235" spans="1:20" ht="25" customHeight="1">
      <c r="A235" s="2"/>
      <c r="B235" s="837" t="s">
        <v>4</v>
      </c>
      <c r="C235" s="661" t="str" cm="1">
        <f t="array" ref="C235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5" s="71"/>
      <c r="E235" s="661"/>
      <c r="F235" s="661"/>
      <c r="G235" s="662"/>
      <c r="H235" s="806"/>
      <c r="I235" s="807"/>
      <c r="J235" s="666">
        <f>K64+K73+K55+K38+K82</f>
        <v>0</v>
      </c>
      <c r="K235" s="838"/>
      <c r="L235" s="2"/>
      <c r="M235" s="670"/>
      <c r="N235" s="28"/>
    </row>
    <row r="236" spans="1:20" ht="25" customHeight="1">
      <c r="A236" s="2"/>
      <c r="B236" s="493" t="s">
        <v>72</v>
      </c>
      <c r="C236" s="612" t="str">
        <f>K94&amp;" TB - S3"&amp;"     /     "&amp;K93&amp;" TB - Archive"</f>
        <v>0 TB - S3     /     0 TB - Archive</v>
      </c>
      <c r="D236" s="663"/>
      <c r="E236" s="663"/>
      <c r="F236" s="808"/>
      <c r="G236" s="809"/>
      <c r="H236" s="809"/>
      <c r="I236" s="810"/>
      <c r="J236" s="667">
        <f>K95</f>
        <v>0</v>
      </c>
      <c r="K236" s="838"/>
      <c r="L236" s="2"/>
      <c r="M236" s="670"/>
      <c r="N236" s="28"/>
    </row>
    <row r="237" spans="1:20" ht="25" customHeight="1">
      <c r="A237" s="2"/>
      <c r="B237" s="493" t="s">
        <v>86</v>
      </c>
      <c r="C237" s="136"/>
      <c r="D237" s="72"/>
      <c r="E237" s="73"/>
      <c r="F237" s="808"/>
      <c r="G237" s="809"/>
      <c r="H237" s="809"/>
      <c r="I237" s="810"/>
      <c r="J237" s="667">
        <f>K119</f>
        <v>0</v>
      </c>
      <c r="K237" s="838"/>
      <c r="L237" s="2"/>
      <c r="M237" s="670"/>
      <c r="N237" s="28"/>
    </row>
    <row r="238" spans="1:20" s="813" customFormat="1" ht="25" customHeight="1">
      <c r="A238" s="811"/>
      <c r="B238" s="466" t="s">
        <v>442</v>
      </c>
      <c r="C238" s="656" t="str">
        <f>IF(J131=1,"Fullt administrert tjeneste - support hverdager 08:00-17:00",IF(J131=3,"Fullt administrert tjeneste - support døgnet rundt, hver dag",""))</f>
        <v/>
      </c>
      <c r="D238" s="33"/>
      <c r="E238" s="34"/>
      <c r="F238" s="35"/>
      <c r="G238" s="812"/>
      <c r="H238" s="812"/>
      <c r="I238" s="763"/>
      <c r="J238" s="437">
        <f>K133</f>
        <v>0</v>
      </c>
      <c r="K238" s="838"/>
      <c r="L238" s="811"/>
      <c r="M238" s="670"/>
    </row>
    <row r="239" spans="1:20" s="818" customFormat="1" ht="25" customHeight="1">
      <c r="A239" s="814"/>
      <c r="B239" s="664" t="s">
        <v>222</v>
      </c>
      <c r="C239" s="659"/>
      <c r="D239" s="660"/>
      <c r="E239" s="660"/>
      <c r="F239" s="815"/>
      <c r="G239" s="816"/>
      <c r="H239" s="816"/>
      <c r="I239" s="817"/>
      <c r="J239" s="668">
        <f>SUM(J235:J238)</f>
        <v>0</v>
      </c>
      <c r="K239" s="873"/>
      <c r="L239" s="814"/>
      <c r="M239" s="670"/>
    </row>
    <row r="240" spans="1:20" ht="25" customHeight="1">
      <c r="A240" s="2"/>
      <c r="B240" s="421"/>
      <c r="C240" s="59"/>
      <c r="D240" s="59"/>
      <c r="E240" s="59"/>
      <c r="F240" s="819"/>
      <c r="G240" s="820"/>
      <c r="H240" s="820"/>
      <c r="I240" s="821"/>
      <c r="J240" s="821"/>
      <c r="K240" s="874"/>
      <c r="L240" s="2"/>
      <c r="M240" s="670"/>
    </row>
    <row r="241" spans="1:23" ht="25" customHeight="1">
      <c r="A241" s="2"/>
      <c r="B241" s="645"/>
      <c r="C241" s="30"/>
      <c r="D241" s="36"/>
      <c r="E241" s="37"/>
      <c r="F241" s="40"/>
      <c r="G241" s="442"/>
      <c r="H241" s="30"/>
      <c r="I241" s="780"/>
      <c r="J241" s="740"/>
      <c r="K241" s="838"/>
      <c r="L241" s="2"/>
      <c r="M241" s="670"/>
    </row>
    <row r="242" spans="1:23" ht="25" customHeight="1">
      <c r="A242" s="822"/>
      <c r="B242" s="646"/>
      <c r="C242" s="42"/>
      <c r="D242" s="33"/>
      <c r="E242" s="34"/>
      <c r="F242" s="823"/>
      <c r="G242" s="812"/>
      <c r="H242" s="42"/>
      <c r="I242" s="824"/>
      <c r="J242" s="437"/>
      <c r="K242" s="596"/>
      <c r="L242" s="825"/>
      <c r="M242" s="670"/>
    </row>
    <row r="243" spans="1:23" s="112" customFormat="1" ht="25" customHeight="1">
      <c r="B243" s="647"/>
      <c r="C243" s="108"/>
      <c r="D243" s="109"/>
      <c r="E243" s="110"/>
      <c r="F243" s="826"/>
      <c r="G243" s="827"/>
      <c r="H243" s="108"/>
      <c r="I243" s="828"/>
      <c r="J243" s="829"/>
      <c r="K243" s="875"/>
    </row>
    <row r="244" spans="1:23" s="112" customFormat="1" ht="25" customHeight="1">
      <c r="B244" s="943" t="s">
        <v>621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4" t="s">
        <v>622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5" t="s">
        <v>623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4" t="s">
        <v>624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946" t="s">
        <v>671</v>
      </c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833" customFormat="1" ht="25" customHeight="1">
      <c r="A253" s="112"/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  <c r="O253" s="112"/>
      <c r="P253" s="112"/>
      <c r="Q253" s="112"/>
      <c r="R253" s="112"/>
      <c r="S253" s="112"/>
      <c r="T253" s="112"/>
      <c r="U253" s="112"/>
      <c r="V253" s="112"/>
      <c r="W253" s="112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7"/>
      <c r="C272" s="108"/>
      <c r="D272" s="108"/>
      <c r="E272" s="108"/>
      <c r="F272" s="830"/>
      <c r="G272" s="831"/>
      <c r="H272" s="832"/>
      <c r="I272" s="832"/>
      <c r="J272" s="832"/>
      <c r="K272" s="876"/>
      <c r="L272" s="829"/>
      <c r="M272" s="829"/>
      <c r="N272" s="829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23" spans="2:13" s="112" customFormat="1" ht="25" customHeight="1">
      <c r="B323" s="648"/>
      <c r="K323" s="876"/>
      <c r="M323" s="834"/>
    </row>
    <row r="335" spans="2:13" ht="25" customHeight="1">
      <c r="B335" s="649"/>
      <c r="C335" s="38"/>
      <c r="D335" s="96"/>
    </row>
  </sheetData>
  <sheetProtection algorithmName="SHA-512" hashValue="u3Q3deForWFKUEB5mXWrh7GF+S0IHjEy8i3eqrpx9dqPNcygZUSIDXbqkSDCK5/Ieu4Bzaxr8n56DljDHI3DjA==" saltValue="mmm11zczJ02+ZMJ5XPwnnQ==" spinCount="100000" sheet="1" objects="1" scenarios="1" selectLockedCells="1"/>
  <mergeCells count="47">
    <mergeCell ref="B190:F190"/>
    <mergeCell ref="B191:F191"/>
    <mergeCell ref="B225:G227"/>
    <mergeCell ref="B228:F228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7:G189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32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2" max="11" man="1"/>
    <brk id="262" max="13" man="1"/>
    <brk id="284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06" t="str">
        <f>"1 SEK = "&amp;NOK&amp;" NOK"</f>
        <v>1 SEK = 1 NOK</v>
      </c>
      <c r="E11" s="1006"/>
      <c r="F11" s="100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05" t="s">
        <v>266</v>
      </c>
      <c r="C19" s="1005"/>
      <c r="D19" s="1005"/>
      <c r="E19" s="1005"/>
      <c r="F19" s="1005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97" t="s">
        <v>277</v>
      </c>
      <c r="G88" s="997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58">
        <f>VOLUME_large_SEK</f>
        <v>1.2</v>
      </c>
      <c r="G89" s="1058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56">
        <f>VOLUME_fast_SEK</f>
        <v>3.6</v>
      </c>
      <c r="G90" s="1056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179"/>
      <c r="O95" s="168"/>
    </row>
    <row r="96" spans="2:23" s="169" customFormat="1" ht="25.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179"/>
      <c r="O96" s="168"/>
    </row>
    <row r="97" spans="2:23" s="169" customFormat="1" ht="25.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179"/>
      <c r="O97" s="168"/>
    </row>
    <row r="98" spans="2:23" s="169" customFormat="1" ht="25.5" customHeight="1">
      <c r="B98" s="1054" t="s">
        <v>279</v>
      </c>
      <c r="C98" s="1054"/>
      <c r="D98" s="1054"/>
      <c r="E98" s="1054"/>
      <c r="F98" s="105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05" t="s">
        <v>280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97" t="s">
        <v>283</v>
      </c>
      <c r="E102" s="997"/>
      <c r="F102" s="997"/>
      <c r="G102" s="997"/>
      <c r="H102" s="997"/>
      <c r="I102" s="997"/>
      <c r="J102" s="997"/>
      <c r="K102" s="997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57">
        <f>S3_storage.50_SEK</f>
        <v>350</v>
      </c>
      <c r="E103" s="1057"/>
      <c r="F103" s="1057"/>
      <c r="G103" s="1057"/>
      <c r="H103" s="1057"/>
      <c r="I103" s="1057"/>
      <c r="J103" s="1057"/>
      <c r="K103" s="1057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52">
        <f>S3_storage.100_SEK</f>
        <v>270</v>
      </c>
      <c r="E104" s="1052"/>
      <c r="F104" s="1052"/>
      <c r="G104" s="1052"/>
      <c r="H104" s="1052"/>
      <c r="I104" s="1052"/>
      <c r="J104" s="1052"/>
      <c r="K104" s="1052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55">
        <f>S3_storage.500_SEK</f>
        <v>200</v>
      </c>
      <c r="E105" s="1055"/>
      <c r="F105" s="1055"/>
      <c r="G105" s="1055"/>
      <c r="H105" s="1055"/>
      <c r="I105" s="1055"/>
      <c r="J105" s="1055"/>
      <c r="K105" s="1055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52">
        <f>S3_storage.1000_SEK</f>
        <v>185</v>
      </c>
      <c r="E106" s="1052"/>
      <c r="F106" s="1052"/>
      <c r="G106" s="1052"/>
      <c r="H106" s="1052"/>
      <c r="I106" s="1052"/>
      <c r="J106" s="1052"/>
      <c r="K106" s="1052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53" t="str">
        <f>S3_storage.quote_SEK</f>
        <v>Be om offert</v>
      </c>
      <c r="E107" s="1053"/>
      <c r="F107" s="1053"/>
      <c r="G107" s="1053"/>
      <c r="H107" s="1053"/>
      <c r="I107" s="1053"/>
      <c r="J107" s="1053"/>
      <c r="K107" s="1053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78" t="s">
        <v>86</v>
      </c>
      <c r="C116" s="978"/>
      <c r="D116" s="978"/>
      <c r="E116" s="978"/>
      <c r="F116" s="978"/>
      <c r="G116" s="978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78"/>
      <c r="C117" s="978"/>
      <c r="D117" s="978"/>
      <c r="E117" s="978"/>
      <c r="F117" s="978"/>
      <c r="G117" s="978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78"/>
      <c r="C118" s="978"/>
      <c r="D118" s="978"/>
      <c r="E118" s="978"/>
      <c r="F118" s="978"/>
      <c r="G118" s="978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54" t="s">
        <v>284</v>
      </c>
      <c r="C119" s="1054"/>
      <c r="D119" s="1054"/>
      <c r="E119" s="1054"/>
      <c r="F119" s="105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05" t="s">
        <v>285</v>
      </c>
      <c r="C120" s="1005"/>
      <c r="D120" s="1005"/>
      <c r="E120" s="1005"/>
      <c r="F120" s="1005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97" t="s">
        <v>286</v>
      </c>
      <c r="D123" s="997"/>
      <c r="E123" s="131" t="s">
        <v>268</v>
      </c>
      <c r="F123" s="997" t="s">
        <v>277</v>
      </c>
      <c r="G123" s="997"/>
      <c r="H123" s="266" t="s">
        <v>90</v>
      </c>
      <c r="I123" s="265"/>
      <c r="J123" s="1011" t="s">
        <v>287</v>
      </c>
      <c r="K123" s="1011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46">
        <f>BAAS_on.demand_SEK</f>
        <v>2.4500000000000002</v>
      </c>
      <c r="G124" s="1047"/>
      <c r="H124" s="307"/>
      <c r="I124" s="472" t="s">
        <v>69</v>
      </c>
      <c r="J124" s="1015" t="s">
        <v>94</v>
      </c>
      <c r="K124" s="1015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48">
        <f>BAAS_small_SEK</f>
        <v>1.75</v>
      </c>
      <c r="G125" s="1049"/>
      <c r="H125" s="309"/>
      <c r="I125" s="473" t="s">
        <v>69</v>
      </c>
      <c r="J125" s="1019">
        <v>0.75</v>
      </c>
      <c r="K125" s="102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50">
        <f>BAAS_large_SEK</f>
        <v>0.92</v>
      </c>
      <c r="G126" s="1051"/>
      <c r="H126" s="298"/>
      <c r="I126" s="474" t="s">
        <v>69</v>
      </c>
      <c r="J126" s="1024">
        <v>0.75</v>
      </c>
      <c r="K126" s="102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78" t="s">
        <v>292</v>
      </c>
      <c r="C137" s="978"/>
      <c r="D137" s="978"/>
      <c r="E137" s="978"/>
      <c r="F137" s="978"/>
      <c r="G137" s="978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78"/>
      <c r="C138" s="978"/>
      <c r="D138" s="978"/>
      <c r="E138" s="978"/>
      <c r="F138" s="978"/>
      <c r="G138" s="978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78"/>
      <c r="C139" s="978"/>
      <c r="D139" s="978"/>
      <c r="E139" s="978"/>
      <c r="F139" s="978"/>
      <c r="G139" s="978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05" t="s">
        <v>285</v>
      </c>
      <c r="C140" s="1005"/>
      <c r="D140" s="1005"/>
      <c r="E140" s="1005"/>
      <c r="F140" s="1005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80"/>
      <c r="C141" s="980"/>
      <c r="D141" s="980"/>
      <c r="E141" s="980"/>
      <c r="F141" s="98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78" t="s">
        <v>300</v>
      </c>
      <c r="C176" s="978"/>
      <c r="D176" s="978"/>
      <c r="E176" s="978"/>
      <c r="F176" s="978"/>
      <c r="G176" s="978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78"/>
      <c r="C177" s="978"/>
      <c r="D177" s="978"/>
      <c r="E177" s="978"/>
      <c r="F177" s="978"/>
      <c r="G177" s="978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78"/>
      <c r="C178" s="978"/>
      <c r="D178" s="978"/>
      <c r="E178" s="978"/>
      <c r="F178" s="978"/>
      <c r="G178" s="978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05" t="s">
        <v>285</v>
      </c>
      <c r="C179" s="1005"/>
      <c r="D179" s="1005"/>
      <c r="E179" s="1005"/>
      <c r="F179" s="1005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80"/>
      <c r="C180" s="980"/>
      <c r="D180" s="980"/>
      <c r="E180" s="980"/>
      <c r="F180" s="98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81" t="s">
        <v>313</v>
      </c>
      <c r="C211" s="981"/>
      <c r="D211" s="981"/>
      <c r="E211" s="981"/>
      <c r="F211" s="981"/>
      <c r="G211" s="98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81"/>
      <c r="C212" s="981"/>
      <c r="D212" s="981"/>
      <c r="E212" s="981"/>
      <c r="F212" s="981"/>
      <c r="G212" s="98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81"/>
      <c r="C213" s="981"/>
      <c r="D213" s="981"/>
      <c r="E213" s="981"/>
      <c r="F213" s="981"/>
      <c r="G213" s="98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44" t="s">
        <v>314</v>
      </c>
      <c r="C214" s="1044"/>
      <c r="D214" s="1044"/>
      <c r="E214" s="1044"/>
      <c r="F214" s="104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45" t="str">
        <f>SUM(E67)&amp;" GB NVME-Disk"</f>
        <v>0 GB NVME-Disk</v>
      </c>
      <c r="G221" s="104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80" t="s">
        <v>205</v>
      </c>
      <c r="C19" s="980"/>
      <c r="D19" s="980"/>
      <c r="E19" s="980"/>
      <c r="F19" s="98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97" t="s">
        <v>221</v>
      </c>
      <c r="G98" s="997"/>
      <c r="H98" s="1011"/>
      <c r="I98" s="1011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58">
        <f>VOLUME_large_SEK</f>
        <v>1.2</v>
      </c>
      <c r="G99" s="1058"/>
      <c r="H99" s="1061"/>
      <c r="I99" s="1061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56">
        <f>VOLUME_fast_SEK</f>
        <v>3.6</v>
      </c>
      <c r="G100" s="1056"/>
      <c r="H100" s="1063"/>
      <c r="I100" s="1063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78" t="s">
        <v>344</v>
      </c>
      <c r="C105" s="978"/>
      <c r="D105" s="978"/>
      <c r="E105" s="978"/>
      <c r="F105" s="978"/>
      <c r="G105" s="978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78"/>
      <c r="C106" s="978"/>
      <c r="D106" s="978"/>
      <c r="E106" s="978"/>
      <c r="F106" s="978"/>
      <c r="G106" s="978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78"/>
      <c r="C107" s="978"/>
      <c r="D107" s="978"/>
      <c r="E107" s="978"/>
      <c r="F107" s="978"/>
      <c r="G107" s="978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27" t="s">
        <v>223</v>
      </c>
      <c r="C108" s="1027"/>
      <c r="D108" s="1027"/>
      <c r="E108" s="1027"/>
      <c r="F108" s="1027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05" t="s">
        <v>345</v>
      </c>
      <c r="C109" s="1005"/>
      <c r="D109" s="1005"/>
      <c r="E109" s="1005"/>
      <c r="F109" s="1005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97" t="s">
        <v>346</v>
      </c>
      <c r="E112" s="997"/>
      <c r="F112" s="997"/>
      <c r="G112" s="997"/>
      <c r="H112" s="997"/>
      <c r="I112" s="997"/>
      <c r="J112" s="997"/>
      <c r="K112" s="997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64">
        <f>S3_storage.50_SUNET</f>
        <v>0.35</v>
      </c>
      <c r="E113" s="1064"/>
      <c r="F113" s="1057"/>
      <c r="G113" s="1057"/>
      <c r="H113" s="1057"/>
      <c r="I113" s="1057"/>
      <c r="J113" s="1057"/>
      <c r="K113" s="1057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62">
        <f>S3_storage.100_SUNET</f>
        <v>0.19</v>
      </c>
      <c r="E114" s="1062"/>
      <c r="F114" s="1052"/>
      <c r="G114" s="1052"/>
      <c r="H114" s="1052"/>
      <c r="I114" s="1052"/>
      <c r="J114" s="1052"/>
      <c r="K114" s="1052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65">
        <f>S3_storage.500_SUNET</f>
        <v>0.1</v>
      </c>
      <c r="E115" s="1065"/>
      <c r="F115" s="1055"/>
      <c r="G115" s="1055"/>
      <c r="H115" s="1055"/>
      <c r="I115" s="1055"/>
      <c r="J115" s="1055"/>
      <c r="K115" s="1055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62">
        <f>S3_storage.1000_SUNET</f>
        <v>0.06</v>
      </c>
      <c r="E116" s="1062"/>
      <c r="F116" s="1052"/>
      <c r="G116" s="1052"/>
      <c r="H116" s="1052"/>
      <c r="I116" s="1052"/>
      <c r="J116" s="1052"/>
      <c r="K116" s="1052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66" t="str">
        <f>S3_storage.quote_SUNET</f>
        <v>Be om offert</v>
      </c>
      <c r="E117" s="1066"/>
      <c r="F117" s="1053"/>
      <c r="G117" s="1053"/>
      <c r="H117" s="1053"/>
      <c r="I117" s="1053"/>
      <c r="J117" s="1053"/>
      <c r="K117" s="1053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97" t="s">
        <v>221</v>
      </c>
      <c r="G120" s="997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67" cm="1">
        <f t="array" ref="F121">_xlfn.IFS(H121&lt;=299,D113,H121&lt;1000,D114,H121&lt;2000,D115,H121&gt;=2000,D116)</f>
        <v>0.35</v>
      </c>
      <c r="G121" s="1068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59">
        <f>ROUNDUP((H121*1000)*F121,2)</f>
        <v>0</v>
      </c>
      <c r="N121" s="1059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60">
        <f>SUM(M121)</f>
        <v>0</v>
      </c>
      <c r="N122" s="1060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78" t="s">
        <v>86</v>
      </c>
      <c r="C126" s="978"/>
      <c r="D126" s="978"/>
      <c r="E126" s="978"/>
      <c r="F126" s="978"/>
      <c r="G126" s="978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78"/>
      <c r="C127" s="978"/>
      <c r="D127" s="978"/>
      <c r="E127" s="978"/>
      <c r="F127" s="978"/>
      <c r="G127" s="978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78"/>
      <c r="C128" s="978"/>
      <c r="D128" s="978"/>
      <c r="E128" s="978"/>
      <c r="F128" s="978"/>
      <c r="G128" s="978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99" t="s">
        <v>87</v>
      </c>
      <c r="C129" s="999"/>
      <c r="D129" s="999"/>
      <c r="E129" s="999"/>
      <c r="F129" s="99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80" t="s">
        <v>226</v>
      </c>
      <c r="C130" s="980"/>
      <c r="D130" s="980"/>
      <c r="E130" s="980"/>
      <c r="F130" s="98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97" t="s">
        <v>228</v>
      </c>
      <c r="D133" s="997"/>
      <c r="E133" s="131" t="s">
        <v>210</v>
      </c>
      <c r="F133" s="997" t="s">
        <v>221</v>
      </c>
      <c r="G133" s="997"/>
      <c r="H133" s="266" t="s">
        <v>90</v>
      </c>
      <c r="I133" s="265"/>
      <c r="J133" s="1011" t="s">
        <v>229</v>
      </c>
      <c r="K133" s="1011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46">
        <f>BAAS_on.demand_SEK</f>
        <v>2.4500000000000002</v>
      </c>
      <c r="G134" s="1047"/>
      <c r="H134" s="307">
        <v>0</v>
      </c>
      <c r="I134" s="472" t="s">
        <v>69</v>
      </c>
      <c r="J134" s="1015" t="s">
        <v>94</v>
      </c>
      <c r="K134" s="101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48">
        <f>BAAS_small_SEK</f>
        <v>1.75</v>
      </c>
      <c r="G135" s="1049"/>
      <c r="H135" s="309">
        <v>0</v>
      </c>
      <c r="I135" s="473" t="s">
        <v>69</v>
      </c>
      <c r="J135" s="1019">
        <v>0.75</v>
      </c>
      <c r="K135" s="102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50">
        <f>BAAS_large_SEK</f>
        <v>0.92</v>
      </c>
      <c r="G136" s="1051"/>
      <c r="H136" s="298">
        <v>0</v>
      </c>
      <c r="I136" s="474" t="s">
        <v>69</v>
      </c>
      <c r="J136" s="1024">
        <v>0.75</v>
      </c>
      <c r="K136" s="102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81" t="s">
        <v>260</v>
      </c>
      <c r="C150" s="981"/>
      <c r="D150" s="981"/>
      <c r="E150" s="981"/>
      <c r="F150" s="981"/>
      <c r="G150" s="98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81"/>
      <c r="C151" s="981"/>
      <c r="D151" s="981"/>
      <c r="E151" s="981"/>
      <c r="F151" s="981"/>
      <c r="G151" s="98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81"/>
      <c r="C152" s="981"/>
      <c r="D152" s="981"/>
      <c r="E152" s="981"/>
      <c r="F152" s="981"/>
      <c r="G152" s="98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44" t="s">
        <v>226</v>
      </c>
      <c r="C153" s="1044"/>
      <c r="D153" s="1044"/>
      <c r="E153" s="1044"/>
      <c r="F153" s="104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70" t="s">
        <v>196</v>
      </c>
      <c r="C160" s="1070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71" t="s">
        <v>197</v>
      </c>
      <c r="C161" s="1071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72" t="s">
        <v>199</v>
      </c>
      <c r="C163" s="1072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69">
        <f>SUM(M160:M163)</f>
        <v>0</v>
      </c>
      <c r="K164" s="1069"/>
      <c r="L164" s="1069"/>
      <c r="M164" s="1069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591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591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591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591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2022-12-16T12:47:10Z</cp:lastPrinted>
  <dcterms:created xsi:type="dcterms:W3CDTF">2015-05-31T16:02:08Z</dcterms:created>
  <dcterms:modified xsi:type="dcterms:W3CDTF">2022-12-16T12:47:20Z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