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SEK/"/>
    </mc:Choice>
  </mc:AlternateContent>
  <xr:revisionPtr revIDLastSave="0" documentId="13_ncr:1_{FC1A6CBF-A4A7-8E4A-BA86-00BCA7C61811}" xr6:coauthVersionLast="46" xr6:coauthVersionMax="46" xr10:uidLastSave="{00000000-0000-0000-0000-000000000000}"/>
  <workbookProtection workbookAlgorithmName="SHA-512" workbookHashValue="HqU1yXk0CMcZ6RiI4uPCuWs7zhpK7vhHHwL262/Pxnw+ajVQL1AzpxRAOU5NMXCqUfVqZA4UFxDmI5vLfkvDbA==" workbookSaltValue="VH9LVtT48W8X5ih6deLN8Q==" workbookSpinCount="100000" lockStructure="1"/>
  <bookViews>
    <workbookView xWindow="0" yWindow="500" windowWidth="28800" windowHeight="17500" tabRatio="530" activeTab="1" xr2:uid="{00000000-000D-0000-FFFF-FFFF00000000}"/>
  </bookViews>
  <sheets>
    <sheet name="EUR - Safespring priser 2020" sheetId="8" state="hidden" r:id="rId1"/>
    <sheet name="SEK - Safespring priser 2021" sheetId="3" r:id="rId2"/>
    <sheet name="NOK - Safespring priser 2020" sheetId="10" state="hidden" r:id="rId3"/>
    <sheet name="SUNET SEK - priser 2020" sheetId="9" state="hidden" r:id="rId4"/>
    <sheet name="Data" sheetId="4" state="hidden" r:id="rId5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2020'!$J$222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2020'!$I$43:$K$61</definedName>
    <definedName name="_xlnm.Print_Area" localSheetId="2">'NOK - Safespring priser 2020'!$A$1:$N$302</definedName>
    <definedName name="_xlnm.Print_Area" localSheetId="1">'SEK - Safespring priser 2021'!$A$1:$O$225</definedName>
    <definedName name="_xlnm.Print_Area" localSheetId="3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8" l="1"/>
  <c r="K38" i="8"/>
  <c r="J38" i="8"/>
  <c r="I38" i="8"/>
  <c r="L58" i="8"/>
  <c r="L59" i="8" s="1"/>
  <c r="L60" i="8" s="1"/>
  <c r="L61" i="8" s="1"/>
  <c r="L62" i="8" s="1"/>
  <c r="K63" i="8"/>
  <c r="J63" i="8"/>
  <c r="I63" i="8"/>
  <c r="L36" i="8"/>
  <c r="L34" i="8"/>
  <c r="K38" i="3"/>
  <c r="J38" i="3"/>
  <c r="I38" i="3"/>
  <c r="K72" i="10"/>
  <c r="J72" i="10"/>
  <c r="I72" i="10"/>
  <c r="K38" i="10"/>
  <c r="J38" i="10"/>
  <c r="I38" i="10"/>
  <c r="K63" i="10"/>
  <c r="J63" i="10"/>
  <c r="I63" i="10"/>
  <c r="J87" i="3"/>
  <c r="I72" i="3"/>
  <c r="N62" i="10"/>
  <c r="H62" i="10"/>
  <c r="M62" i="10" s="1"/>
  <c r="N37" i="10"/>
  <c r="H37" i="10"/>
  <c r="M37" i="10" s="1"/>
  <c r="N36" i="10"/>
  <c r="H36" i="10"/>
  <c r="M36" i="10" s="1"/>
  <c r="N62" i="8"/>
  <c r="H62" i="8"/>
  <c r="M62" i="8" s="1"/>
  <c r="N35" i="8"/>
  <c r="H35" i="8"/>
  <c r="M35" i="8" s="1"/>
  <c r="N34" i="8"/>
  <c r="H34" i="8"/>
  <c r="M34" i="8" s="1"/>
  <c r="N61" i="3"/>
  <c r="H61" i="3"/>
  <c r="M61" i="3" s="1"/>
  <c r="G61" i="3"/>
  <c r="N35" i="3"/>
  <c r="H35" i="3"/>
  <c r="M35" i="3" s="1"/>
  <c r="G35" i="3"/>
  <c r="N34" i="3"/>
  <c r="H34" i="3"/>
  <c r="M34" i="3" s="1"/>
  <c r="G34" i="3"/>
  <c r="H37" i="3"/>
  <c r="G37" i="3" s="1"/>
  <c r="N37" i="3"/>
  <c r="G34" i="4"/>
  <c r="H25" i="3"/>
  <c r="H25" i="10"/>
  <c r="D10" i="10"/>
  <c r="D10" i="8"/>
  <c r="N158" i="10"/>
  <c r="N157" i="10"/>
  <c r="N156" i="10"/>
  <c r="H123" i="10"/>
  <c r="N122" i="10"/>
  <c r="N121" i="10"/>
  <c r="D103" i="10"/>
  <c r="J87" i="10"/>
  <c r="K80" i="10"/>
  <c r="J80" i="10"/>
  <c r="I80" i="10"/>
  <c r="L78" i="10"/>
  <c r="L70" i="10"/>
  <c r="L68" i="10"/>
  <c r="G62" i="10" l="1"/>
  <c r="G37" i="10"/>
  <c r="G36" i="10"/>
  <c r="G62" i="8"/>
  <c r="G34" i="8"/>
  <c r="G35" i="8"/>
  <c r="M37" i="3"/>
  <c r="K94" i="9"/>
  <c r="J101" i="9"/>
  <c r="I94" i="9"/>
  <c r="K60" i="9"/>
  <c r="J60" i="9"/>
  <c r="I60" i="9"/>
  <c r="K86" i="9"/>
  <c r="I86" i="9"/>
  <c r="J86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G3" i="4"/>
  <c r="G4" i="4"/>
  <c r="G5" i="4"/>
  <c r="H85" i="9" s="1"/>
  <c r="G85" i="9" s="1"/>
  <c r="G6" i="4"/>
  <c r="H42" i="9" s="1"/>
  <c r="G7" i="4"/>
  <c r="G8" i="4"/>
  <c r="G9" i="4"/>
  <c r="G10" i="4"/>
  <c r="H30" i="9" s="1"/>
  <c r="G11" i="4"/>
  <c r="E3" i="4"/>
  <c r="F3" i="4"/>
  <c r="E5" i="4"/>
  <c r="F5" i="4"/>
  <c r="H82" i="9" l="1"/>
  <c r="H68" i="9"/>
  <c r="H72" i="9"/>
  <c r="H76" i="9"/>
  <c r="H80" i="9"/>
  <c r="H67" i="9"/>
  <c r="H75" i="9"/>
  <c r="H65" i="9"/>
  <c r="H69" i="9"/>
  <c r="H73" i="9"/>
  <c r="H77" i="9"/>
  <c r="H81" i="9"/>
  <c r="H71" i="9"/>
  <c r="H66" i="9"/>
  <c r="H70" i="9"/>
  <c r="H74" i="9"/>
  <c r="H78" i="9"/>
  <c r="H41" i="9"/>
  <c r="G41" i="9" s="1"/>
  <c r="H79" i="9"/>
  <c r="H84" i="9"/>
  <c r="G84" i="9" s="1"/>
  <c r="M82" i="9"/>
  <c r="G82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G73" i="9" l="1"/>
  <c r="M73" i="9"/>
  <c r="G78" i="9"/>
  <c r="M78" i="9"/>
  <c r="G71" i="9"/>
  <c r="M71" i="9"/>
  <c r="G69" i="9"/>
  <c r="M69" i="9"/>
  <c r="G80" i="9"/>
  <c r="M80" i="9"/>
  <c r="G66" i="9"/>
  <c r="M66" i="9"/>
  <c r="G68" i="9"/>
  <c r="M68" i="9"/>
  <c r="G74" i="9"/>
  <c r="M74" i="9"/>
  <c r="G81" i="9"/>
  <c r="M81" i="9"/>
  <c r="G65" i="9"/>
  <c r="M65" i="9"/>
  <c r="G76" i="9"/>
  <c r="M76" i="9"/>
  <c r="M86" i="9" s="1"/>
  <c r="G67" i="9"/>
  <c r="M67" i="9"/>
  <c r="M84" i="9"/>
  <c r="G79" i="9"/>
  <c r="M79" i="9"/>
  <c r="G70" i="9"/>
  <c r="M70" i="9"/>
  <c r="G77" i="9"/>
  <c r="M77" i="9"/>
  <c r="G75" i="9"/>
  <c r="M75" i="9"/>
  <c r="G72" i="9"/>
  <c r="M72" i="9"/>
  <c r="E4" i="4"/>
  <c r="F4" i="4"/>
  <c r="F8" i="4"/>
  <c r="E6" i="4"/>
  <c r="F6" i="4"/>
  <c r="E7" i="4"/>
  <c r="F7" i="4"/>
  <c r="E8" i="4"/>
  <c r="H59" i="10" l="1"/>
  <c r="H55" i="10"/>
  <c r="H51" i="10"/>
  <c r="H47" i="10"/>
  <c r="H43" i="10"/>
  <c r="H56" i="10"/>
  <c r="H68" i="10"/>
  <c r="H58" i="10"/>
  <c r="H54" i="10"/>
  <c r="H50" i="10"/>
  <c r="H46" i="10"/>
  <c r="H71" i="10"/>
  <c r="H69" i="10"/>
  <c r="H60" i="10"/>
  <c r="H52" i="10"/>
  <c r="H48" i="10"/>
  <c r="H61" i="10"/>
  <c r="H57" i="10"/>
  <c r="H53" i="10"/>
  <c r="H49" i="10"/>
  <c r="H45" i="10"/>
  <c r="H70" i="10"/>
  <c r="H44" i="10"/>
  <c r="H33" i="10"/>
  <c r="H29" i="10"/>
  <c r="H30" i="10"/>
  <c r="H32" i="10"/>
  <c r="H28" i="10"/>
  <c r="H34" i="10"/>
  <c r="H35" i="10"/>
  <c r="H31" i="10"/>
  <c r="H27" i="10"/>
  <c r="H26" i="10"/>
  <c r="G20" i="4"/>
  <c r="G19" i="4"/>
  <c r="H137" i="9"/>
  <c r="N136" i="9"/>
  <c r="N135" i="9"/>
  <c r="J94" i="9"/>
  <c r="L92" i="9"/>
  <c r="G26" i="10" l="1"/>
  <c r="M26" i="10"/>
  <c r="M44" i="10"/>
  <c r="G44" i="10"/>
  <c r="M35" i="10"/>
  <c r="G35" i="10"/>
  <c r="G30" i="10"/>
  <c r="M30" i="10"/>
  <c r="M49" i="10"/>
  <c r="G49" i="10"/>
  <c r="M48" i="10"/>
  <c r="G48" i="10"/>
  <c r="M71" i="10"/>
  <c r="G71" i="10"/>
  <c r="M58" i="10"/>
  <c r="G58" i="10"/>
  <c r="M47" i="10"/>
  <c r="G47" i="10"/>
  <c r="M25" i="10"/>
  <c r="G25" i="10"/>
  <c r="M52" i="10"/>
  <c r="G52" i="10"/>
  <c r="G68" i="10"/>
  <c r="M68" i="10"/>
  <c r="M27" i="10"/>
  <c r="G27" i="10"/>
  <c r="M28" i="10"/>
  <c r="G28" i="10"/>
  <c r="M29" i="10"/>
  <c r="G29" i="10"/>
  <c r="G70" i="10"/>
  <c r="M70" i="10"/>
  <c r="M57" i="10"/>
  <c r="G57" i="10"/>
  <c r="M60" i="10"/>
  <c r="G60" i="10"/>
  <c r="M50" i="10"/>
  <c r="G50" i="10"/>
  <c r="M56" i="10"/>
  <c r="G56" i="10"/>
  <c r="M55" i="10"/>
  <c r="G55" i="10"/>
  <c r="G34" i="10"/>
  <c r="M34" i="10"/>
  <c r="M53" i="10"/>
  <c r="G53" i="10"/>
  <c r="M46" i="10"/>
  <c r="G46" i="10"/>
  <c r="M51" i="10"/>
  <c r="G51" i="10"/>
  <c r="M31" i="10"/>
  <c r="G31" i="10"/>
  <c r="M32" i="10"/>
  <c r="G32" i="10"/>
  <c r="M33" i="10"/>
  <c r="G33" i="10"/>
  <c r="M45" i="10"/>
  <c r="G45" i="10"/>
  <c r="M61" i="10"/>
  <c r="G61" i="10"/>
  <c r="G69" i="10"/>
  <c r="M69" i="10"/>
  <c r="M54" i="10"/>
  <c r="G54" i="10"/>
  <c r="M43" i="10"/>
  <c r="G43" i="10"/>
  <c r="M59" i="10"/>
  <c r="G59" i="10"/>
  <c r="H47" i="9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M63" i="10" l="1"/>
  <c r="M72" i="10"/>
  <c r="M38" i="10"/>
  <c r="L70" i="3"/>
  <c r="L68" i="3"/>
  <c r="H123" i="8"/>
  <c r="K80" i="8"/>
  <c r="J80" i="8"/>
  <c r="I80" i="8"/>
  <c r="K72" i="8"/>
  <c r="J72" i="8"/>
  <c r="I72" i="8"/>
  <c r="H123" i="3"/>
  <c r="K80" i="3"/>
  <c r="J80" i="3"/>
  <c r="I80" i="3"/>
  <c r="K72" i="3"/>
  <c r="J72" i="3"/>
  <c r="K63" i="3"/>
  <c r="J63" i="3"/>
  <c r="I63" i="3"/>
  <c r="F65" i="4"/>
  <c r="N189" i="8" s="1"/>
  <c r="F66" i="4"/>
  <c r="N190" i="8" s="1"/>
  <c r="F67" i="4"/>
  <c r="N191" i="8" s="1"/>
  <c r="F68" i="4"/>
  <c r="N192" i="8" s="1"/>
  <c r="F69" i="4"/>
  <c r="N193" i="8" s="1"/>
  <c r="F64" i="4"/>
  <c r="N188" i="8" s="1"/>
  <c r="F40" i="4"/>
  <c r="F41" i="4"/>
  <c r="F37" i="4"/>
  <c r="D61" i="4"/>
  <c r="D60" i="4"/>
  <c r="D59" i="4"/>
  <c r="D58" i="4"/>
  <c r="D57" i="4"/>
  <c r="D56" i="4"/>
  <c r="N158" i="8"/>
  <c r="E64" i="4"/>
  <c r="N188" i="10" s="1"/>
  <c r="E69" i="4"/>
  <c r="N193" i="10" s="1"/>
  <c r="E68" i="4"/>
  <c r="E67" i="4"/>
  <c r="E66" i="4"/>
  <c r="E65" i="4"/>
  <c r="N189" i="10" s="1"/>
  <c r="N158" i="3"/>
  <c r="N157" i="3"/>
  <c r="N156" i="3"/>
  <c r="N192" i="3" l="1"/>
  <c r="N192" i="10"/>
  <c r="N191" i="3"/>
  <c r="N191" i="10"/>
  <c r="N190" i="3"/>
  <c r="N190" i="10"/>
  <c r="N188" i="3"/>
  <c r="N189" i="3"/>
  <c r="N193" i="3"/>
  <c r="N157" i="8"/>
  <c r="N156" i="8"/>
  <c r="N121" i="8"/>
  <c r="F25" i="4"/>
  <c r="D122" i="8" s="1"/>
  <c r="E25" i="4"/>
  <c r="F24" i="4"/>
  <c r="D121" i="8" s="1"/>
  <c r="E24" i="4"/>
  <c r="D103" i="8"/>
  <c r="N122" i="8"/>
  <c r="L78" i="8"/>
  <c r="L26" i="8"/>
  <c r="L27" i="8" s="1"/>
  <c r="L28" i="8" s="1"/>
  <c r="L29" i="8" s="1"/>
  <c r="L30" i="8" s="1"/>
  <c r="L31" i="8" s="1"/>
  <c r="L35" i="8" s="1"/>
  <c r="E34" i="4"/>
  <c r="E30" i="4"/>
  <c r="D99" i="10" s="1"/>
  <c r="F107" i="10" s="1" a="1"/>
  <c r="F107" i="10" s="1"/>
  <c r="E31" i="4"/>
  <c r="D100" i="10" s="1"/>
  <c r="E32" i="4"/>
  <c r="D101" i="10" s="1"/>
  <c r="E33" i="4"/>
  <c r="D102" i="10" s="1"/>
  <c r="F32" i="4"/>
  <c r="D101" i="8" s="1"/>
  <c r="F30" i="4"/>
  <c r="D99" i="8" s="1"/>
  <c r="F33" i="4"/>
  <c r="D102" i="8" s="1"/>
  <c r="F31" i="4"/>
  <c r="D100" i="8" s="1"/>
  <c r="F15" i="4"/>
  <c r="H78" i="8" s="1"/>
  <c r="E15" i="4"/>
  <c r="H78" i="10" s="1"/>
  <c r="F27" i="4"/>
  <c r="F122" i="8" s="1"/>
  <c r="E27" i="4"/>
  <c r="F122" i="10" s="1"/>
  <c r="G78" i="10" l="1"/>
  <c r="M78" i="10"/>
  <c r="E107" i="10" a="1"/>
  <c r="E107" i="10" s="1"/>
  <c r="N107" i="10" a="1"/>
  <c r="N107" i="10" s="1"/>
  <c r="N108" i="10" s="1"/>
  <c r="M219" i="10" s="1"/>
  <c r="D103" i="3"/>
  <c r="H92" i="9"/>
  <c r="D99" i="3"/>
  <c r="H48" i="8"/>
  <c r="H55" i="8"/>
  <c r="H58" i="8"/>
  <c r="H60" i="8"/>
  <c r="H26" i="8"/>
  <c r="H46" i="8"/>
  <c r="H54" i="8"/>
  <c r="H43" i="8"/>
  <c r="H47" i="8"/>
  <c r="H50" i="8"/>
  <c r="H52" i="8"/>
  <c r="H57" i="8"/>
  <c r="H56" i="8"/>
  <c r="H59" i="8"/>
  <c r="H44" i="8"/>
  <c r="H37" i="8"/>
  <c r="H45" i="8"/>
  <c r="H49" i="8"/>
  <c r="H51" i="8"/>
  <c r="H53" i="8"/>
  <c r="H61" i="8"/>
  <c r="H25" i="8"/>
  <c r="H50" i="3"/>
  <c r="H53" i="3"/>
  <c r="H56" i="3"/>
  <c r="H59" i="3"/>
  <c r="H58" i="3"/>
  <c r="H46" i="3"/>
  <c r="H49" i="3"/>
  <c r="H52" i="3"/>
  <c r="H55" i="3"/>
  <c r="H43" i="3"/>
  <c r="H45" i="3"/>
  <c r="H48" i="3"/>
  <c r="H51" i="3"/>
  <c r="H62" i="3"/>
  <c r="H47" i="3"/>
  <c r="H54" i="3"/>
  <c r="H57" i="3"/>
  <c r="H60" i="3"/>
  <c r="H44" i="3"/>
  <c r="F136" i="9"/>
  <c r="L32" i="8"/>
  <c r="L33" i="8" s="1"/>
  <c r="H36" i="8"/>
  <c r="H30" i="8"/>
  <c r="H33" i="8"/>
  <c r="G33" i="8" s="1"/>
  <c r="H29" i="8"/>
  <c r="G29" i="8" s="1"/>
  <c r="H32" i="8"/>
  <c r="H28" i="8"/>
  <c r="H31" i="8"/>
  <c r="H27" i="8"/>
  <c r="F107" i="8" a="1"/>
  <c r="F107" i="8" s="1"/>
  <c r="D101" i="3"/>
  <c r="D102" i="3"/>
  <c r="D100" i="3"/>
  <c r="D14" i="4"/>
  <c r="F14" i="4" s="1"/>
  <c r="H77" i="8" s="1"/>
  <c r="H78" i="3"/>
  <c r="D16" i="4"/>
  <c r="F16" i="4" s="1"/>
  <c r="H79" i="8" s="1"/>
  <c r="F122" i="3"/>
  <c r="E14" i="4"/>
  <c r="K9" i="4"/>
  <c r="H31" i="3"/>
  <c r="H27" i="3"/>
  <c r="H28" i="3"/>
  <c r="K10" i="4"/>
  <c r="H36" i="3"/>
  <c r="H30" i="3"/>
  <c r="H26" i="3"/>
  <c r="H32" i="3"/>
  <c r="H33" i="3"/>
  <c r="H29" i="3"/>
  <c r="N169" i="8"/>
  <c r="E61" i="4"/>
  <c r="M169" i="10" s="1"/>
  <c r="N168" i="8"/>
  <c r="E60" i="4"/>
  <c r="M168" i="10" s="1"/>
  <c r="N167" i="8"/>
  <c r="E59" i="4"/>
  <c r="M167" i="10" s="1"/>
  <c r="N166" i="8"/>
  <c r="E58" i="4"/>
  <c r="M166" i="10" s="1"/>
  <c r="N165" i="8"/>
  <c r="E57" i="4"/>
  <c r="M165" i="10" s="1"/>
  <c r="N164" i="8"/>
  <c r="E56" i="4"/>
  <c r="M164" i="10" s="1"/>
  <c r="E49" i="4"/>
  <c r="N155" i="10" s="1"/>
  <c r="F49" i="4"/>
  <c r="N155" i="8" s="1"/>
  <c r="E53" i="4"/>
  <c r="N159" i="10" s="1"/>
  <c r="F53" i="4"/>
  <c r="N159" i="8" s="1"/>
  <c r="F26" i="4"/>
  <c r="F121" i="8" s="1"/>
  <c r="E26" i="4"/>
  <c r="F23" i="4"/>
  <c r="F120" i="8" s="1"/>
  <c r="E23" i="4"/>
  <c r="F44" i="4"/>
  <c r="N148" i="8" s="1"/>
  <c r="E44" i="4"/>
  <c r="N148" i="10" s="1"/>
  <c r="F43" i="4"/>
  <c r="N147" i="8" s="1"/>
  <c r="F42" i="4"/>
  <c r="N146" i="8" s="1"/>
  <c r="E42" i="4"/>
  <c r="N146" i="10" s="1"/>
  <c r="N145" i="8"/>
  <c r="E41" i="4"/>
  <c r="N145" i="10" s="1"/>
  <c r="N144" i="8"/>
  <c r="E40" i="4"/>
  <c r="N144" i="10" s="1"/>
  <c r="F39" i="4"/>
  <c r="N143" i="8" s="1"/>
  <c r="E39" i="4"/>
  <c r="N143" i="10" s="1"/>
  <c r="F38" i="4"/>
  <c r="N142" i="8" s="1"/>
  <c r="E38" i="4"/>
  <c r="N142" i="10" s="1"/>
  <c r="N141" i="8"/>
  <c r="E37" i="4"/>
  <c r="N141" i="10" s="1"/>
  <c r="L37" i="8" l="1"/>
  <c r="H91" i="9"/>
  <c r="H77" i="10"/>
  <c r="F134" i="9"/>
  <c r="N134" i="9" s="1"/>
  <c r="N137" i="9" s="1"/>
  <c r="M162" i="9" s="1"/>
  <c r="F120" i="10"/>
  <c r="N120" i="10" s="1"/>
  <c r="N123" i="10" s="1"/>
  <c r="M220" i="10" s="1"/>
  <c r="F135" i="9"/>
  <c r="F121" i="10"/>
  <c r="M91" i="9"/>
  <c r="G91" i="9"/>
  <c r="G54" i="3"/>
  <c r="M54" i="3"/>
  <c r="G62" i="3"/>
  <c r="M62" i="3"/>
  <c r="G49" i="3"/>
  <c r="M49" i="3"/>
  <c r="G50" i="3"/>
  <c r="M50" i="3"/>
  <c r="M41" i="9"/>
  <c r="M45" i="9"/>
  <c r="G45" i="9"/>
  <c r="M49" i="9"/>
  <c r="G49" i="9"/>
  <c r="M53" i="9"/>
  <c r="G53" i="9"/>
  <c r="M57" i="9"/>
  <c r="G57" i="9"/>
  <c r="G29" i="9"/>
  <c r="M29" i="9"/>
  <c r="G53" i="8"/>
  <c r="M53" i="8"/>
  <c r="G57" i="8"/>
  <c r="M57" i="8"/>
  <c r="M46" i="8"/>
  <c r="G46" i="8"/>
  <c r="M55" i="8"/>
  <c r="G55" i="8"/>
  <c r="G92" i="9"/>
  <c r="M92" i="9"/>
  <c r="G44" i="3"/>
  <c r="M44" i="3"/>
  <c r="G47" i="3"/>
  <c r="M47" i="3"/>
  <c r="G51" i="3"/>
  <c r="M51" i="3"/>
  <c r="G43" i="3"/>
  <c r="M43" i="3"/>
  <c r="G46" i="3"/>
  <c r="M46" i="3"/>
  <c r="G59" i="3"/>
  <c r="M59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51" i="8"/>
  <c r="G51" i="8"/>
  <c r="M44" i="8"/>
  <c r="G44" i="8"/>
  <c r="M52" i="8"/>
  <c r="G52" i="8"/>
  <c r="M48" i="8"/>
  <c r="G48" i="8"/>
  <c r="N148" i="3"/>
  <c r="G60" i="3"/>
  <c r="M60" i="3"/>
  <c r="G48" i="3"/>
  <c r="M48" i="3"/>
  <c r="G55" i="3"/>
  <c r="M55" i="3"/>
  <c r="G56" i="3"/>
  <c r="M56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9" i="8"/>
  <c r="M49" i="8"/>
  <c r="G59" i="8"/>
  <c r="M59" i="8"/>
  <c r="M50" i="8"/>
  <c r="G50" i="8"/>
  <c r="G43" i="8"/>
  <c r="M43" i="8"/>
  <c r="G60" i="8"/>
  <c r="M60" i="8"/>
  <c r="M122" i="9"/>
  <c r="M161" i="9" s="1"/>
  <c r="N141" i="3"/>
  <c r="N143" i="3"/>
  <c r="N145" i="3"/>
  <c r="N159" i="3"/>
  <c r="N142" i="3"/>
  <c r="N144" i="3"/>
  <c r="N146" i="3"/>
  <c r="N155" i="3"/>
  <c r="G57" i="3"/>
  <c r="M57" i="3"/>
  <c r="G45" i="3"/>
  <c r="M45" i="3"/>
  <c r="G52" i="3"/>
  <c r="M52" i="3"/>
  <c r="G58" i="3"/>
  <c r="M58" i="3"/>
  <c r="G53" i="3"/>
  <c r="M53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61" i="8"/>
  <c r="M61" i="8"/>
  <c r="G45" i="8"/>
  <c r="M45" i="8"/>
  <c r="G56" i="8"/>
  <c r="M56" i="8"/>
  <c r="G47" i="8"/>
  <c r="M47" i="8"/>
  <c r="M54" i="8"/>
  <c r="G54" i="8"/>
  <c r="M58" i="8"/>
  <c r="G58" i="8"/>
  <c r="M33" i="8"/>
  <c r="M29" i="8"/>
  <c r="N120" i="8"/>
  <c r="N107" i="8" a="1"/>
  <c r="N107" i="8" s="1"/>
  <c r="N108" i="8" s="1"/>
  <c r="E107" i="8" a="1"/>
  <c r="E107" i="8" s="1"/>
  <c r="G78" i="8"/>
  <c r="M78" i="8"/>
  <c r="G25" i="8"/>
  <c r="M25" i="8"/>
  <c r="M32" i="8"/>
  <c r="G32" i="8"/>
  <c r="G31" i="8"/>
  <c r="M31" i="8"/>
  <c r="G26" i="8"/>
  <c r="M26" i="8"/>
  <c r="M169" i="3"/>
  <c r="G77" i="8"/>
  <c r="M77" i="8"/>
  <c r="M36" i="8"/>
  <c r="G36" i="8"/>
  <c r="M28" i="8"/>
  <c r="G28" i="8"/>
  <c r="G30" i="8"/>
  <c r="M30" i="8"/>
  <c r="G37" i="8"/>
  <c r="M37" i="8"/>
  <c r="G27" i="8"/>
  <c r="M27" i="8"/>
  <c r="F120" i="3"/>
  <c r="F121" i="3"/>
  <c r="E16" i="4"/>
  <c r="H79" i="10" s="1"/>
  <c r="H77" i="3"/>
  <c r="M164" i="3"/>
  <c r="M166" i="3"/>
  <c r="M168" i="3"/>
  <c r="M165" i="3"/>
  <c r="M167" i="3"/>
  <c r="E43" i="4"/>
  <c r="N147" i="10" s="1"/>
  <c r="L43" i="8" l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G79" i="10"/>
  <c r="M79" i="10"/>
  <c r="M77" i="10"/>
  <c r="M80" i="10" s="1"/>
  <c r="G77" i="10"/>
  <c r="M60" i="9"/>
  <c r="H79" i="3"/>
  <c r="H93" i="9"/>
  <c r="M36" i="9"/>
  <c r="N147" i="3"/>
  <c r="M38" i="8"/>
  <c r="M63" i="8"/>
  <c r="N123" i="8"/>
  <c r="M220" i="8" s="1"/>
  <c r="M219" i="8"/>
  <c r="G79" i="8"/>
  <c r="M79" i="8"/>
  <c r="M80" i="8" s="1"/>
  <c r="F19" i="4"/>
  <c r="F85" i="8" s="1"/>
  <c r="F20" i="4"/>
  <c r="F86" i="8" s="1"/>
  <c r="E20" i="4"/>
  <c r="E19" i="4"/>
  <c r="E47" i="4"/>
  <c r="F47" i="4"/>
  <c r="E48" i="4"/>
  <c r="N154" i="10" s="1"/>
  <c r="F48" i="4"/>
  <c r="N154" i="8" s="1"/>
  <c r="L56" i="8" l="1"/>
  <c r="L57" i="8" s="1"/>
  <c r="L69" i="8"/>
  <c r="F100" i="9"/>
  <c r="F86" i="10"/>
  <c r="F99" i="9"/>
  <c r="F85" i="10"/>
  <c r="N152" i="10"/>
  <c r="N71" i="10"/>
  <c r="N70" i="10"/>
  <c r="N35" i="10"/>
  <c r="N34" i="10"/>
  <c r="N33" i="10"/>
  <c r="N32" i="10"/>
  <c r="N31" i="10"/>
  <c r="N30" i="10"/>
  <c r="N29" i="10"/>
  <c r="N28" i="10"/>
  <c r="N27" i="10"/>
  <c r="N26" i="10"/>
  <c r="N25" i="10"/>
  <c r="N69" i="10"/>
  <c r="N68" i="10"/>
  <c r="N79" i="10"/>
  <c r="N78" i="10"/>
  <c r="N153" i="10"/>
  <c r="N77" i="10"/>
  <c r="N59" i="10"/>
  <c r="N55" i="10"/>
  <c r="N51" i="10"/>
  <c r="N47" i="10"/>
  <c r="N43" i="10"/>
  <c r="N48" i="10"/>
  <c r="N58" i="10"/>
  <c r="N54" i="10"/>
  <c r="N50" i="10"/>
  <c r="N46" i="10"/>
  <c r="N56" i="10"/>
  <c r="N61" i="10"/>
  <c r="N57" i="10"/>
  <c r="N53" i="10"/>
  <c r="N49" i="10"/>
  <c r="N45" i="10"/>
  <c r="N60" i="10"/>
  <c r="N52" i="10"/>
  <c r="N44" i="10"/>
  <c r="N68" i="9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4" i="3"/>
  <c r="H68" i="3"/>
  <c r="H70" i="3"/>
  <c r="H69" i="3"/>
  <c r="H71" i="3"/>
  <c r="N46" i="8"/>
  <c r="N49" i="8"/>
  <c r="N51" i="8"/>
  <c r="N56" i="8"/>
  <c r="N44" i="8"/>
  <c r="N79" i="8"/>
  <c r="N28" i="8"/>
  <c r="N32" i="8"/>
  <c r="N25" i="8"/>
  <c r="N47" i="8"/>
  <c r="N50" i="8"/>
  <c r="N45" i="8"/>
  <c r="N53" i="8"/>
  <c r="N55" i="8"/>
  <c r="N58" i="8"/>
  <c r="N61" i="8"/>
  <c r="N43" i="8"/>
  <c r="N77" i="8"/>
  <c r="N29" i="8"/>
  <c r="N33" i="8"/>
  <c r="N48" i="8"/>
  <c r="N52" i="8"/>
  <c r="N26" i="8"/>
  <c r="N36" i="8"/>
  <c r="N31" i="8"/>
  <c r="N69" i="8"/>
  <c r="N60" i="8"/>
  <c r="N30" i="8"/>
  <c r="N27" i="8"/>
  <c r="N70" i="8"/>
  <c r="N71" i="8"/>
  <c r="N68" i="8"/>
  <c r="N54" i="8"/>
  <c r="N57" i="8"/>
  <c r="N59" i="8"/>
  <c r="N78" i="8"/>
  <c r="N37" i="8"/>
  <c r="G93" i="9"/>
  <c r="M93" i="9"/>
  <c r="M94" i="9" s="1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5" i="3"/>
  <c r="N48" i="3"/>
  <c r="N51" i="3"/>
  <c r="N54" i="3"/>
  <c r="N62" i="3"/>
  <c r="N44" i="3"/>
  <c r="N46" i="3"/>
  <c r="N43" i="3"/>
  <c r="N69" i="3"/>
  <c r="N47" i="3"/>
  <c r="N50" i="3"/>
  <c r="N57" i="3"/>
  <c r="N60" i="3"/>
  <c r="N59" i="3"/>
  <c r="N153" i="3"/>
  <c r="N152" i="3"/>
  <c r="N71" i="3"/>
  <c r="N68" i="3"/>
  <c r="N53" i="3"/>
  <c r="N56" i="3"/>
  <c r="N70" i="3"/>
  <c r="N49" i="3"/>
  <c r="N52" i="3"/>
  <c r="N55" i="3"/>
  <c r="N58" i="3"/>
  <c r="E100" i="9"/>
  <c r="N100" i="9"/>
  <c r="E99" i="9"/>
  <c r="N99" i="9"/>
  <c r="H68" i="8"/>
  <c r="H69" i="8"/>
  <c r="H70" i="8"/>
  <c r="H71" i="8"/>
  <c r="N152" i="8"/>
  <c r="N153" i="8"/>
  <c r="F86" i="3"/>
  <c r="N85" i="8"/>
  <c r="E85" i="8"/>
  <c r="N79" i="3"/>
  <c r="N78" i="3"/>
  <c r="N77" i="3"/>
  <c r="F85" i="3"/>
  <c r="N27" i="3"/>
  <c r="N31" i="3"/>
  <c r="N26" i="3"/>
  <c r="N28" i="3"/>
  <c r="N32" i="3"/>
  <c r="N30" i="3"/>
  <c r="N29" i="3"/>
  <c r="N33" i="3"/>
  <c r="N36" i="3"/>
  <c r="N25" i="3"/>
  <c r="L68" i="8" l="1"/>
  <c r="N38" i="10"/>
  <c r="L70" i="8"/>
  <c r="L71" i="8"/>
  <c r="N38" i="3"/>
  <c r="E86" i="10"/>
  <c r="N86" i="10"/>
  <c r="N63" i="10"/>
  <c r="N80" i="10"/>
  <c r="N72" i="10"/>
  <c r="E85" i="10"/>
  <c r="N85" i="10"/>
  <c r="N60" i="9"/>
  <c r="N86" i="9"/>
  <c r="N94" i="9"/>
  <c r="N36" i="9"/>
  <c r="N72" i="8"/>
  <c r="G70" i="8"/>
  <c r="M70" i="8"/>
  <c r="N80" i="8"/>
  <c r="G68" i="3"/>
  <c r="M68" i="3"/>
  <c r="M69" i="8"/>
  <c r="G69" i="8"/>
  <c r="N63" i="8"/>
  <c r="N38" i="8"/>
  <c r="G71" i="3"/>
  <c r="M71" i="3"/>
  <c r="G68" i="8"/>
  <c r="M68" i="8"/>
  <c r="G69" i="3"/>
  <c r="M69" i="3"/>
  <c r="M71" i="8"/>
  <c r="G71" i="8"/>
  <c r="N101" i="9"/>
  <c r="G70" i="3"/>
  <c r="M70" i="3"/>
  <c r="N72" i="3"/>
  <c r="N63" i="3"/>
  <c r="E86" i="8"/>
  <c r="N86" i="8"/>
  <c r="N87" i="8" s="1"/>
  <c r="N80" i="3"/>
  <c r="N87" i="10" l="1"/>
  <c r="M218" i="10" s="1"/>
  <c r="M221" i="10"/>
  <c r="M163" i="9"/>
  <c r="M160" i="9"/>
  <c r="M72" i="8"/>
  <c r="M221" i="3"/>
  <c r="M221" i="8"/>
  <c r="J222" i="10" l="1"/>
  <c r="M166" i="9"/>
  <c r="M167" i="9"/>
  <c r="J164" i="9"/>
  <c r="M218" i="8"/>
  <c r="J222" i="8" s="1"/>
  <c r="F107" i="3" l="1" a="1"/>
  <c r="F107" i="3" s="1"/>
  <c r="G77" i="3"/>
  <c r="G78" i="3"/>
  <c r="G79" i="3"/>
  <c r="N107" i="3" l="1" a="1"/>
  <c r="N107" i="3" s="1"/>
  <c r="E107" i="3" a="1"/>
  <c r="E107" i="3" s="1"/>
  <c r="L78" i="3"/>
  <c r="N108" i="3" l="1"/>
  <c r="M219" i="3" s="1"/>
  <c r="M78" i="3"/>
  <c r="M79" i="3"/>
  <c r="M77" i="3"/>
  <c r="M80" i="3" l="1"/>
  <c r="M25" i="3" l="1"/>
  <c r="M63" i="3" l="1"/>
  <c r="N121" i="3"/>
  <c r="N122" i="3"/>
  <c r="M72" i="3" l="1"/>
  <c r="K11" i="4" l="1"/>
  <c r="G36" i="3" l="1"/>
  <c r="N120" i="3"/>
  <c r="N123" i="3" s="1"/>
  <c r="M220" i="3" s="1"/>
  <c r="N86" i="3"/>
  <c r="N85" i="3"/>
  <c r="E86" i="3"/>
  <c r="E85" i="3"/>
  <c r="G33" i="3"/>
  <c r="G32" i="3"/>
  <c r="G31" i="3"/>
  <c r="G30" i="3"/>
  <c r="G29" i="3"/>
  <c r="G28" i="3"/>
  <c r="G27" i="3"/>
  <c r="G25" i="3"/>
  <c r="N87" i="3" l="1"/>
  <c r="G26" i="3"/>
  <c r="M36" i="3"/>
  <c r="M29" i="3"/>
  <c r="M33" i="3"/>
  <c r="M27" i="3"/>
  <c r="M31" i="3"/>
  <c r="M26" i="3"/>
  <c r="M30" i="3"/>
  <c r="M28" i="3"/>
  <c r="M32" i="3"/>
  <c r="M38" i="3" l="1"/>
  <c r="M218" i="3" s="1"/>
  <c r="J222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<sst xmlns="http://schemas.openxmlformats.org/spreadsheetml/2006/main" count="1521" uniqueCount="423">
  <si>
    <t>Contact Safespring</t>
  </si>
  <si>
    <t>Currency</t>
  </si>
  <si>
    <t>Phone: +46 855 10 73 56</t>
  </si>
  <si>
    <t>Euro</t>
  </si>
  <si>
    <t>sales@safespring.com</t>
  </si>
  <si>
    <t>Safespring Compute</t>
  </si>
  <si>
    <t>Infrastructure as a service can run on a open source license or with a Windows license.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</si>
  <si>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</si>
  <si>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</si>
  <si>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Instances with central block storage</t>
  </si>
  <si>
    <t>Product ID</t>
  </si>
  <si>
    <t>vCPU</t>
  </si>
  <si>
    <t>RAM (GB)</t>
  </si>
  <si>
    <t>Storage (GB)</t>
  </si>
  <si>
    <t>Hourly</t>
  </si>
  <si>
    <t>Monthly</t>
  </si>
  <si>
    <t>Instances</t>
  </si>
  <si>
    <t>Windows licenses</t>
  </si>
  <si>
    <t>SQL licenses</t>
  </si>
  <si>
    <t>Infrastructure</t>
  </si>
  <si>
    <t>Licenses</t>
  </si>
  <si>
    <t>INSTANCE-b.tiny</t>
  </si>
  <si>
    <t>INSTANCE-b.small</t>
  </si>
  <si>
    <t>INSTANCE-b.medium</t>
  </si>
  <si>
    <t>INSTANCE-b.large</t>
  </si>
  <si>
    <t>INSTANCE-b.xlarge</t>
  </si>
  <si>
    <t>INSTANCE-b.2xlarge</t>
  </si>
  <si>
    <t>INSTANCE-m.small</t>
  </si>
  <si>
    <t>INSTANCE-m.medium</t>
  </si>
  <si>
    <t>INSTANCE-m.large</t>
  </si>
  <si>
    <t>INSTANCE-m.xlarge</t>
  </si>
  <si>
    <t>INSTANCE-m.2xlarge</t>
  </si>
  <si>
    <t>Total</t>
  </si>
  <si>
    <t>Instances with local storage (NVMe)</t>
  </si>
  <si>
    <t>NVME (GB)</t>
  </si>
  <si>
    <t>INSTANCE-lb.tiny</t>
  </si>
  <si>
    <t>INSTANCE-lb.large.1d</t>
  </si>
  <si>
    <t>INSTANCE-lb.xlarge.1d</t>
  </si>
  <si>
    <t>INSTANCE-lb.2xlarge.1d</t>
  </si>
  <si>
    <t>INSTANCE-lb.2xlarge.2d</t>
  </si>
  <si>
    <t>INSTANCE-lb.2xlarge.4d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</si>
  <si>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</si>
  <si>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</si>
  <si>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</si>
  <si>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</si>
  <si>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</si>
  <si>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</si>
  <si>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</si>
  <si>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</si>
  <si>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</si>
  <si>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</si>
  <si>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</si>
  <si>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</si>
  <si>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</si>
  <si>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Instances with GPU and local storage (NVMe)</t>
  </si>
  <si>
    <t>GPU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</si>
  <si>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</si>
  <si>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</si>
  <si>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</si>
  <si>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</si>
  <si>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</si>
  <si>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</si>
  <si>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Instanser</t>
  </si>
  <si>
    <t>INSTANCE-p1.4xlarge.16d</t>
  </si>
  <si>
    <t>INSTANCE-p1.8xlarge.32d</t>
  </si>
  <si>
    <t>Extra Storage</t>
  </si>
  <si>
    <t>Description</t>
  </si>
  <si>
    <t>Per GB / Monthly</t>
  </si>
  <si>
    <t>Extra GB</t>
  </si>
  <si>
    <t>VOLUME-large</t>
  </si>
  <si>
    <t>HDD-backed 3-replica Ceph</t>
  </si>
  <si>
    <t>GB</t>
  </si>
  <si>
    <t>VOLUME-fast</t>
  </si>
  <si>
    <t>SSD-backed 3-replica Ceph</t>
  </si>
  <si>
    <t>Safespring Storage</t>
  </si>
  <si>
    <t xml:space="preserve">  Object storage with S3 standard.</t>
  </si>
  <si>
    <t>Price model based on the amount of terabyte stored at Safespring Storage</t>
  </si>
  <si>
    <t>Amount of TB</t>
  </si>
  <si>
    <t>Per TB/monthly</t>
  </si>
  <si>
    <t>S3-storage</t>
  </si>
  <si>
    <t>0 - 50</t>
  </si>
  <si>
    <t>51 - 100</t>
  </si>
  <si>
    <t>101 - 500</t>
  </si>
  <si>
    <t>501 - 1000</t>
  </si>
  <si>
    <t xml:space="preserve">1001 - </t>
  </si>
  <si>
    <t>Per TB / Monthly</t>
  </si>
  <si>
    <t>Storage</t>
  </si>
  <si>
    <t>TB</t>
  </si>
  <si>
    <t xml:space="preserve">  Totalt</t>
  </si>
  <si>
    <t>Safespring Backup</t>
  </si>
  <si>
    <t>Cloud backup solution for on-prem or cloud servers based on Spectrum Protect.</t>
  </si>
  <si>
    <t>Monthly fee</t>
  </si>
  <si>
    <t>Per GB/month</t>
  </si>
  <si>
    <t>Antal GB</t>
  </si>
  <si>
    <r>
      <t>Deduplication</t>
    </r>
    <r>
      <rPr>
        <sz val="14"/>
        <color theme="6"/>
        <rFont val="Hind Light"/>
      </rPr>
      <t>*</t>
    </r>
  </si>
  <si>
    <t>Pris</t>
  </si>
  <si>
    <r>
      <t xml:space="preserve">BAAS-on.demand </t>
    </r>
    <r>
      <rPr>
        <sz val="11"/>
        <color theme="6"/>
        <rFont val="Montserrat Medium"/>
      </rPr>
      <t>**</t>
    </r>
  </si>
  <si>
    <t>N/A</t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</si>
  <si>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</si>
  <si>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</si>
  <si>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</si>
  <si>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</si>
  <si>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</si>
  <si>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</si>
  <si>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t>Network and software</t>
  </si>
  <si>
    <t>Network</t>
  </si>
  <si>
    <t xml:space="preserve"> Type</t>
  </si>
  <si>
    <t>Charge per</t>
  </si>
  <si>
    <t>NET-publicv4</t>
  </si>
  <si>
    <t>IPv4</t>
  </si>
  <si>
    <t>Public</t>
  </si>
  <si>
    <t>IP-adress</t>
  </si>
  <si>
    <t>NET-publicv6</t>
  </si>
  <si>
    <t>IPv6</t>
  </si>
  <si>
    <t>NET-ingress</t>
  </si>
  <si>
    <t>Data transfer</t>
  </si>
  <si>
    <t>NET-egress</t>
  </si>
  <si>
    <t>1 TB / month included per project (no charges for the academic sector)</t>
  </si>
  <si>
    <t>NET-mgn.slb</t>
  </si>
  <si>
    <t xml:space="preserve">Managed SLB </t>
  </si>
  <si>
    <t>Instance</t>
  </si>
  <si>
    <t>NET-rdns</t>
  </si>
  <si>
    <t>Reverse DNS names</t>
  </si>
  <si>
    <t>NET-saferoute</t>
  </si>
  <si>
    <t>Saferoute / IP-VPN</t>
  </si>
  <si>
    <t>NET-byoip</t>
  </si>
  <si>
    <t>Bring your own IP prefixes</t>
  </si>
  <si>
    <t>Software and licenses</t>
  </si>
  <si>
    <t>SW-win.ser.2016</t>
  </si>
  <si>
    <t>Windows Server 2016</t>
  </si>
  <si>
    <t>SW-win.ser.2019</t>
  </si>
  <si>
    <t>Windows Server 2019</t>
  </si>
  <si>
    <t>SW-ms.sql.ser</t>
  </si>
  <si>
    <t>Microsft SQL Server</t>
  </si>
  <si>
    <t>SW-stackn</t>
  </si>
  <si>
    <t>STACKn (Machine Learning), supported by provider</t>
  </si>
  <si>
    <t>SW-nextcloud</t>
  </si>
  <si>
    <t>Nextcloud Filesharing</t>
  </si>
  <si>
    <t>SW-suse.linux</t>
  </si>
  <si>
    <t>SUSE Linux Enterprise Server, 12x5 Support</t>
  </si>
  <si>
    <t>SW-cluster.control</t>
  </si>
  <si>
    <t>Cluster Control Supported</t>
  </si>
  <si>
    <t>SW-backup.ninja</t>
  </si>
  <si>
    <t>Backup Ninja</t>
  </si>
  <si>
    <t>Databas</t>
  </si>
  <si>
    <t>Platform services</t>
  </si>
  <si>
    <t>PAAS-man.kubernetes</t>
  </si>
  <si>
    <t>Managed Kubernetes, for up to 20 nodes, 8x5 support</t>
  </si>
  <si>
    <t>Node</t>
  </si>
  <si>
    <t>PAAS-man.postgres.sql</t>
  </si>
  <si>
    <t>Managed PostgresSQL</t>
  </si>
  <si>
    <t>Database</t>
  </si>
  <si>
    <t>PAAS-man.elasticsearch</t>
  </si>
  <si>
    <t>Managed Elasticsearch + Grafana service</t>
  </si>
  <si>
    <t>PAAS-man.redis</t>
  </si>
  <si>
    <t>Managed Redis</t>
  </si>
  <si>
    <t>Redis server</t>
  </si>
  <si>
    <t>PAAS-man.nats</t>
  </si>
  <si>
    <t>Managed NATS</t>
  </si>
  <si>
    <t>Nats server</t>
  </si>
  <si>
    <t>PAAS-man.mariadb</t>
  </si>
  <si>
    <t>Managed MariaDB</t>
  </si>
  <si>
    <t>Support and consulting</t>
  </si>
  <si>
    <t>Support</t>
  </si>
  <si>
    <t>SUPPORT-iaas.base</t>
  </si>
  <si>
    <t>Base IaaS Support</t>
  </si>
  <si>
    <t>SUPPORT-standard</t>
  </si>
  <si>
    <t>Access to backchannel chat room with support and engineering</t>
  </si>
  <si>
    <t>Total volume</t>
  </si>
  <si>
    <t>3 % of total volume</t>
  </si>
  <si>
    <t>SUPPORT-premium</t>
  </si>
  <si>
    <t>Dedicated Service Manager with quarterly operations meetings</t>
  </si>
  <si>
    <t>Hour</t>
  </si>
  <si>
    <t>Ask for quote</t>
  </si>
  <si>
    <t>* The support fee is charged at 3 % of the total volume with a minimum fee of 150 Euro per month.</t>
  </si>
  <si>
    <t>Consulting</t>
  </si>
  <si>
    <t>PS-consult.jun</t>
  </si>
  <si>
    <t>Cloud Infrastructure Consultant, junior expertise level</t>
  </si>
  <si>
    <t>PS-consult.sen</t>
  </si>
  <si>
    <t>Cloud infrastructure Consultant, senior expertise level</t>
  </si>
  <si>
    <t>PS-cloudarch.jun</t>
  </si>
  <si>
    <t>Cloud Infrastructure Architect Consultant, junior expertise level</t>
  </si>
  <si>
    <t>PS-cloudarch.sen</t>
  </si>
  <si>
    <t>Cloud Infrastructure Architect Consultant, senior expertise level</t>
  </si>
  <si>
    <t>PS-pm.jun</t>
  </si>
  <si>
    <t>Project Manager, junior expertise level</t>
  </si>
  <si>
    <t>PS-pm.sen</t>
  </si>
  <si>
    <t>Project Manager, senior expertise level</t>
  </si>
  <si>
    <t>Training</t>
  </si>
  <si>
    <t>Duration</t>
  </si>
  <si>
    <t>Price</t>
  </si>
  <si>
    <t>TRAIN-intro.iaas</t>
  </si>
  <si>
    <t>One day</t>
  </si>
  <si>
    <t>Introduction to "infrastructure as a service"</t>
  </si>
  <si>
    <t>Occasion</t>
  </si>
  <si>
    <t>TRAIN-cxo.strategy</t>
  </si>
  <si>
    <t>Cloud strategy for top management</t>
  </si>
  <si>
    <t>TRAIN-intro.cloud</t>
  </si>
  <si>
    <t>Four days</t>
  </si>
  <si>
    <t>Introduction to cloud computing</t>
  </si>
  <si>
    <t>TRAIN-devops.microservices</t>
  </si>
  <si>
    <t>Modern DevOps and microservices</t>
  </si>
  <si>
    <t>Calculated price</t>
  </si>
  <si>
    <t>Contact Safespring for a full quote</t>
  </si>
  <si>
    <t>sales@safespring.se</t>
  </si>
  <si>
    <t xml:space="preserve">  Product</t>
  </si>
  <si>
    <t>Montly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</si>
  <si>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</si>
  <si>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</si>
  <si>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</si>
  <si>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</si>
  <si>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Kontakta Safespring</t>
  </si>
  <si>
    <t>Valuta</t>
  </si>
  <si>
    <t>Telefon: 08-55 10 73 56</t>
  </si>
  <si>
    <t>SEK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</si>
  <si>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</si>
  <si>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</si>
  <si>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</si>
  <si>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</si>
  <si>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Produkt ID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</si>
  <si>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</si>
  <si>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</si>
  <si>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</si>
  <si>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</si>
  <si>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</si>
  <si>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</si>
  <si>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</si>
  <si>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</si>
  <si>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 med lokal lagring (NVMe-disk)</t>
  </si>
  <si>
    <t>Instanser med GPU och lokal lagring (NVME-disk)</t>
  </si>
  <si>
    <t>CPU (p) core</t>
  </si>
  <si>
    <t>Extra lagring</t>
  </si>
  <si>
    <t>Beskrivning</t>
  </si>
  <si>
    <t>Per GB/månad</t>
  </si>
  <si>
    <t>Totalt</t>
  </si>
  <si>
    <t xml:space="preserve">  Objektlagring med standarden S3.</t>
  </si>
  <si>
    <t>Prismodell baserat på antal lagrade TB, se tabellen nedan.</t>
  </si>
  <si>
    <t>Antal TB</t>
  </si>
  <si>
    <t>Per TB/månad</t>
  </si>
  <si>
    <t xml:space="preserve">   Alla priser angivna i SEK, exklusive moms.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</si>
  <si>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</si>
  <si>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</si>
  <si>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</si>
  <si>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</si>
  <si>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</si>
  <si>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</si>
  <si>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</si>
  <si>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>Nätverk och Mjukvara</t>
  </si>
  <si>
    <t xml:space="preserve"> Nätverk</t>
  </si>
  <si>
    <t xml:space="preserve"> Typ</t>
  </si>
  <si>
    <t>Debitering per</t>
  </si>
  <si>
    <t>Publik</t>
  </si>
  <si>
    <t>Datatrafik</t>
  </si>
  <si>
    <t>1 TB/mån inkluderat per projekt (kostnadsfritt inom akademisk sektor)</t>
  </si>
  <si>
    <t xml:space="preserve">Instans </t>
  </si>
  <si>
    <t>Mjukvara och licenser</t>
  </si>
  <si>
    <t>Instans</t>
  </si>
  <si>
    <t>Plattformstjänster</t>
  </si>
  <si>
    <t>Managed Kubernetes</t>
  </si>
  <si>
    <t xml:space="preserve">Managed Elasticsearch </t>
  </si>
  <si>
    <t>Support och konsulttjänster</t>
  </si>
  <si>
    <t>Total volym</t>
  </si>
  <si>
    <t>3 % av total volym</t>
  </si>
  <si>
    <t>Timme</t>
  </si>
  <si>
    <t>Begär offert</t>
  </si>
  <si>
    <t>* The support fee is charged at 3 % of the total volume with a minimum fee of 1500 SEK per month.</t>
  </si>
  <si>
    <t>Konsulttjänster</t>
  </si>
  <si>
    <t>Utbildningar</t>
  </si>
  <si>
    <t>Längd</t>
  </si>
  <si>
    <t>Introduktion till "infrastruktur som tjänst"</t>
  </si>
  <si>
    <t>En dag</t>
  </si>
  <si>
    <t>Tillfälle</t>
  </si>
  <si>
    <t>Molnstrategi för ledningsgrupper,</t>
  </si>
  <si>
    <t>Introduktion till moln-infrastrukturteknik,</t>
  </si>
  <si>
    <t>Fyra dagar</t>
  </si>
  <si>
    <t>Modern DevOps och "microservices"</t>
  </si>
  <si>
    <t>Månadskostnad</t>
  </si>
  <si>
    <t xml:space="preserve">  Kontakta Safespring för fullständig offert</t>
  </si>
  <si>
    <t xml:space="preserve">  Produkt</t>
  </si>
  <si>
    <t>Kontakt Safespring</t>
  </si>
  <si>
    <t>NOK</t>
  </si>
  <si>
    <t>Infrastruktur kan kjøres med en gratis opensource-lisens eller med en Windows-lisens.</t>
  </si>
  <si>
    <t>Alle priser er oppgitt i NOK, eksklusiv mva.</t>
  </si>
  <si>
    <t>Instanser med sentral blokklagring</t>
  </si>
  <si>
    <t>Per time</t>
  </si>
  <si>
    <t>Per måned</t>
  </si>
  <si>
    <t>Antall instanser</t>
  </si>
  <si>
    <t>Windows-lisenser</t>
  </si>
  <si>
    <t>SQL-lisenser</t>
  </si>
  <si>
    <t>Lisenser</t>
  </si>
  <si>
    <t>Instanser med GPU og lokal lagring (NVME-disk)</t>
  </si>
  <si>
    <t xml:space="preserve">"Bare Metal" compute </t>
  </si>
  <si>
    <t>Ekstra lagring</t>
  </si>
  <si>
    <t>Beskrivelse</t>
  </si>
  <si>
    <t>Per GB/måned</t>
  </si>
  <si>
    <t>Ekstra GB</t>
  </si>
  <si>
    <t>Objektlagring med standard S3.</t>
  </si>
  <si>
    <t>Prismodell basert på antall lagrede TB, se tabellen nedenfor.</t>
  </si>
  <si>
    <r>
      <t xml:space="preserve">Instruksjoner: </t>
    </r>
    <r>
      <rPr>
        <sz val="11"/>
        <color rgb="FF414141"/>
        <rFont val="Montserrat Light"/>
      </rPr>
      <t>Fyll ut ønsket mengde i de fargede feltene.</t>
    </r>
  </si>
  <si>
    <t>Antall TB</t>
  </si>
  <si>
    <t>Per TB/måned</t>
  </si>
  <si>
    <t>Cloud backup-løsning for lokale servere eller skyservere basert på Spectrum Protect.</t>
  </si>
  <si>
    <t xml:space="preserve">Alle priser er oppgitt i NOK, eksklusiv mva.				</t>
  </si>
  <si>
    <t>Fast månedlig pris</t>
  </si>
  <si>
    <t>Deduplisering*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</si>
  <si>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er en datareduksjon som er gjort i tjenesten. Avhengig av data varierer det normalt mellom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</si>
  <si>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Prisen er per beskyttet GB på klienten.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</si>
  <si>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Prisen er per lagret GB i tjenesten etter deduplisering og komprimering.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</si>
  <si>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Prisen er per lagret GB i tjenesten etter deduplisering og komprimering. 1000 GB er inkludert i den faste månedlige prisen.</t>
    </r>
  </si>
  <si>
    <t>Nettverk og programvare</t>
  </si>
  <si>
    <t>Nettverk</t>
  </si>
  <si>
    <t>Pris per</t>
  </si>
  <si>
    <t>IP adresse</t>
  </si>
  <si>
    <t>Datatrafikk</t>
  </si>
  <si>
    <t>1 TB / måned inkludert per prosjekt (gratis i akademisk sektor)</t>
  </si>
  <si>
    <t>Programvare og lisenser</t>
  </si>
  <si>
    <t>Instanse</t>
  </si>
  <si>
    <t>Support og konsulenttjenester</t>
  </si>
  <si>
    <t>Lading per</t>
  </si>
  <si>
    <t>Time</t>
  </si>
  <si>
    <t>Pris på forespørsel</t>
  </si>
  <si>
    <t>Konsulenttjenester</t>
  </si>
  <si>
    <t>Utdanninger</t>
  </si>
  <si>
    <t>Lengde</t>
  </si>
  <si>
    <t>Introduktion til "Infrastruktur som tjeneste"</t>
  </si>
  <si>
    <t>Mulighet</t>
  </si>
  <si>
    <t>Forespørsel om tilbud</t>
  </si>
  <si>
    <t>Skystrategi for ledergrupper</t>
  </si>
  <si>
    <t>introduksjon til skybasert infrastrukturteknikk</t>
  </si>
  <si>
    <t>Moderne DevOps og "microservices"</t>
  </si>
  <si>
    <t>Månedlig kostnad</t>
  </si>
  <si>
    <t>Alle priser er oppgitt i SEK, eksklusiv mva.</t>
  </si>
  <si>
    <t>Kontakt Safespring for et fullstendig tilbud</t>
  </si>
  <si>
    <t xml:space="preserve">  Tjeneste</t>
  </si>
  <si>
    <t>Priskalkylator 2020-07-02</t>
  </si>
  <si>
    <t>Region</t>
  </si>
  <si>
    <t>STO-1</t>
  </si>
  <si>
    <t>SUNET Private Cloud</t>
  </si>
  <si>
    <t>lb.tiny</t>
  </si>
  <si>
    <t>STH-B</t>
  </si>
  <si>
    <t>lb.small</t>
  </si>
  <si>
    <t>lb.medium.1d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</si>
  <si>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</si>
  <si>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</si>
  <si>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</si>
  <si>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</si>
  <si>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</si>
  <si>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</si>
  <si>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</si>
  <si>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</si>
  <si>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lm.small</t>
  </si>
  <si>
    <t>lm.medium.1d</t>
  </si>
  <si>
    <t>lm.large.1d</t>
  </si>
  <si>
    <t>lm.xlarge.1d</t>
  </si>
  <si>
    <t>lm.2xlarge.1d</t>
  </si>
  <si>
    <t>lm.2xlarge.2d</t>
  </si>
  <si>
    <t>lm.2xlarge.4d</t>
  </si>
  <si>
    <t>lm.4xlarge.1d</t>
  </si>
  <si>
    <t>lm.4xlarge.2d</t>
  </si>
  <si>
    <t>lm.4xlarge.4d</t>
  </si>
  <si>
    <t xml:space="preserve"> Totalt</t>
  </si>
  <si>
    <t>SUNET Lagring i privat molntjänst</t>
  </si>
  <si>
    <t>Prismodell baserat på antal lagrade GB, se tabellen nedan.</t>
  </si>
  <si>
    <t>Per GB /månad</t>
  </si>
  <si>
    <t>&lt;300</t>
  </si>
  <si>
    <t>&gt;=300</t>
  </si>
  <si>
    <t>&gt;=1000</t>
  </si>
  <si>
    <t>&gt;=2000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</si>
  <si>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</si>
  <si>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</si>
  <si>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</si>
  <si>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Prissättning</t>
  </si>
  <si>
    <t>SEK/NOK</t>
  </si>
  <si>
    <t>EUR</t>
  </si>
  <si>
    <t>SUNET med påslag</t>
  </si>
  <si>
    <t>Currency Factor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</si>
  <si>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</si>
  <si>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</si>
  <si>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</si>
  <si>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</si>
  <si>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</si>
  <si>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</si>
  <si>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Typ</t>
  </si>
  <si>
    <t>Antal</t>
  </si>
  <si>
    <t>IAAS-ram-sunet-b-m</t>
  </si>
  <si>
    <t xml:space="preserve">  vCPU</t>
  </si>
  <si>
    <t>IAAS-vcpu-sunet-b-m</t>
  </si>
  <si>
    <t xml:space="preserve">  RAM</t>
  </si>
  <si>
    <t>IAAS-ssd-sunet</t>
  </si>
  <si>
    <t>Bare metal compute</t>
  </si>
  <si>
    <t>SUNET</t>
  </si>
  <si>
    <t>SUNET påslag</t>
  </si>
  <si>
    <t>Procent</t>
  </si>
  <si>
    <t>Safespring påslag</t>
  </si>
  <si>
    <t>SUNETs påslag</t>
  </si>
  <si>
    <t>BAAS-on.demand</t>
  </si>
  <si>
    <t>BAAS-small.fee</t>
  </si>
  <si>
    <t>BAAS-large.fee</t>
  </si>
  <si>
    <t>BAAS-small</t>
  </si>
  <si>
    <t>BAAS-large</t>
  </si>
  <si>
    <t>S3-storage.50</t>
  </si>
  <si>
    <t>S3-storage.100</t>
  </si>
  <si>
    <t>S3-storage.500</t>
  </si>
  <si>
    <t>S3-storage.1000</t>
  </si>
  <si>
    <t>S3-storage.quote</t>
  </si>
  <si>
    <t>Be om offert</t>
  </si>
  <si>
    <t>Nätverk</t>
  </si>
  <si>
    <t>Mjukvara</t>
  </si>
  <si>
    <t>SW-win.ser.2016 &amp; 2019</t>
  </si>
  <si>
    <t>Request a quote</t>
  </si>
  <si>
    <t>SW-suse</t>
  </si>
  <si>
    <t>3x instanspris</t>
  </si>
  <si>
    <t>3x instance price</t>
  </si>
  <si>
    <t>INSTANCE-lm.8xlarge.4d</t>
  </si>
  <si>
    <t>INSTANCE-m.4xlarge</t>
  </si>
  <si>
    <t>INSTANCE-m.8xlarge</t>
  </si>
  <si>
    <t>Priskalkylator 2021-01-19</t>
  </si>
  <si>
    <t xml:space="preserve">   Infrastruktur kan köras med kostnadsfri Open Source-licens eller med Windows-licens.</t>
  </si>
  <si>
    <t xml:space="preserve">Bare Metal Compute </t>
  </si>
  <si>
    <t>Priskalkulator 2021-01-19</t>
  </si>
  <si>
    <t>Price calculator 2021-01-19</t>
  </si>
  <si>
    <r>
      <t xml:space="preserve">Instruksjoner: </t>
    </r>
    <r>
      <rPr>
        <sz val="11"/>
        <color theme="1"/>
        <rFont val="Montserrat Light"/>
      </rPr>
      <t>Angi ønsket antall i de fargede feltene.</t>
    </r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</si>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</sst>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  <font>
      <sz val="11"/>
      <color rgb="FF414141"/>
      <name val="Montserrat Medium"/>
    </font>
    <font>
      <sz val="11"/>
      <color rgb="FF414141"/>
      <name val="Montserrat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CE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9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3" borderId="0" xfId="0" applyFont="1" applyFill="1" applyAlignment="1" applyProtection="1">
      <alignment horizontal="left" vertical="center"/>
      <protection hidden="1"/>
    </xf>
    <xf numFmtId="0" fontId="51" fillId="6" borderId="0" xfId="0" applyFont="1" applyFill="1" applyAlignment="1" applyProtection="1">
      <alignment horizontal="left" vertical="center" inden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0" borderId="6" xfId="0" applyFont="1" applyFill="1" applyBorder="1" applyAlignment="1" applyProtection="1">
      <alignment horizontal="left" vertical="center" readingOrder="1"/>
      <protection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1" shrinkToFit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72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1700528</xdr:colOff>
      <xdr:row>4</xdr:row>
      <xdr:rowOff>62622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D47F4B2-C3A5-154C-9358-069B6894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698659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9"/>
  <sheetViews>
    <sheetView showGridLines="0" zoomScale="93" zoomScaleNormal="90" zoomScaleSheetLayoutView="100" workbookViewId="0">
      <selection activeCell="D3" sqref="D3"/>
    </sheetView>
  </sheetViews>
  <sheetFormatPr baseColWidth="10" defaultColWidth="15" defaultRowHeight="25.5" customHeight="1"/>
  <cols>
    <col min="1" max="1" width="11.83203125" style="202" customWidth="1"/>
    <col min="2" max="2" width="31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6"/>
      <c r="C4" s="66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420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0</v>
      </c>
      <c r="C8" s="63"/>
      <c r="D8" s="70" t="s">
        <v>1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</v>
      </c>
      <c r="C9" s="63"/>
      <c r="D9" s="79" t="s">
        <v>3</v>
      </c>
      <c r="E9" s="63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89" t="s">
        <v>4</v>
      </c>
      <c r="C10" s="440"/>
      <c r="D10" s="491" t="str">
        <f>"1 SEK = "&amp;EUR&amp;" EUR"</f>
        <v>1 SEK = 0,094718 EUR</v>
      </c>
      <c r="E10" s="487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459" t="s">
        <v>6</v>
      </c>
      <c r="C18" s="459"/>
      <c r="D18" s="459"/>
      <c r="E18" s="459"/>
      <c r="F18" s="61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8" t="s">
        <v>7</v>
      </c>
      <c r="C19" s="628"/>
      <c r="D19" s="628"/>
      <c r="E19" s="628"/>
      <c r="F19" s="628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8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9</v>
      </c>
      <c r="C23" s="11"/>
      <c r="D23" s="11"/>
      <c r="I23" s="168"/>
      <c r="M23" s="204"/>
      <c r="N23" s="204"/>
      <c r="O23" s="202"/>
      <c r="P23" s="205"/>
    </row>
    <row r="24" spans="2:29" s="210" customFormat="1" ht="52">
      <c r="B24" s="498" t="s">
        <v>10</v>
      </c>
      <c r="C24" s="13" t="s">
        <v>11</v>
      </c>
      <c r="D24" s="13" t="s">
        <v>12</v>
      </c>
      <c r="E24" s="14" t="s">
        <v>13</v>
      </c>
      <c r="F24" s="206"/>
      <c r="G24" s="207" t="s">
        <v>14</v>
      </c>
      <c r="H24" s="207" t="s">
        <v>15</v>
      </c>
      <c r="I24" s="208" t="s">
        <v>16</v>
      </c>
      <c r="J24" s="208" t="s">
        <v>17</v>
      </c>
      <c r="K24" s="208" t="s">
        <v>18</v>
      </c>
      <c r="L24" s="209"/>
      <c r="M24" s="207" t="s">
        <v>19</v>
      </c>
      <c r="N24" s="207" t="s">
        <v>20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441">
        <f t="shared" ref="G25:G37" si="0">H25/720</f>
        <v>3.6703224999999999E-2</v>
      </c>
      <c r="H25" s="441">
        <f>C25*IAAS_vcpu_EUR+D25*IAAS_ram_EUR+E25*IAAS_ssd_EUR</f>
        <v>26.426321999999999</v>
      </c>
      <c r="I25" s="217"/>
      <c r="J25" s="217"/>
      <c r="K25" s="217"/>
      <c r="L25" s="214" t="s">
        <v>16</v>
      </c>
      <c r="M25" s="443">
        <f>ROUNDUP(I25*H25,2)</f>
        <v>0</v>
      </c>
      <c r="N25" s="443">
        <f t="shared" ref="N25:N37" si="1">J25*C25*SW_win.ser.201X_EUR+K25*C25*SW_ms.sql.ser_EUR</f>
        <v>0</v>
      </c>
      <c r="P25" s="219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442">
        <f t="shared" si="0"/>
        <v>4.3938627777777781E-2</v>
      </c>
      <c r="H26" s="442">
        <f>C26*IAAS_vcpu_EUR+D26*IAAS_ram_EUR+E26*IAAS_ssd_EUR</f>
        <v>31.635812000000001</v>
      </c>
      <c r="I26" s="217"/>
      <c r="J26" s="217"/>
      <c r="K26" s="217"/>
      <c r="L26" s="220" t="str">
        <f t="shared" ref="L26:L33" si="2">L25</f>
        <v>Instances</v>
      </c>
      <c r="M26" s="444">
        <f t="shared" ref="M26:M37" si="3">ROUNDUP(I26*H26,2)</f>
        <v>0</v>
      </c>
      <c r="N26" s="485">
        <f t="shared" si="1"/>
        <v>0</v>
      </c>
      <c r="P26" s="219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441">
        <f t="shared" si="0"/>
        <v>6.8933655555555556E-2</v>
      </c>
      <c r="H27" s="441">
        <f t="shared" ref="H27:H36" si="4">C27*IAAS_vcpu_EUR+D27*IAAS_ram_EUR+E27*IAAS_ssd_EUR</f>
        <v>49.632232000000002</v>
      </c>
      <c r="I27" s="217"/>
      <c r="J27" s="217"/>
      <c r="K27" s="217"/>
      <c r="L27" s="214" t="str">
        <f t="shared" si="2"/>
        <v>Instances</v>
      </c>
      <c r="M27" s="443">
        <f t="shared" si="3"/>
        <v>0</v>
      </c>
      <c r="N27" s="443">
        <f t="shared" si="1"/>
        <v>0</v>
      </c>
      <c r="O27" s="224"/>
      <c r="P27" s="219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442">
        <f t="shared" si="0"/>
        <v>0.11892371111111112</v>
      </c>
      <c r="H28" s="442">
        <f t="shared" si="4"/>
        <v>85.625072000000003</v>
      </c>
      <c r="I28" s="217"/>
      <c r="J28" s="217"/>
      <c r="K28" s="217"/>
      <c r="L28" s="220" t="str">
        <f t="shared" si="2"/>
        <v>Instances</v>
      </c>
      <c r="M28" s="444">
        <f t="shared" si="3"/>
        <v>0</v>
      </c>
      <c r="N28" s="485">
        <f t="shared" si="1"/>
        <v>0</v>
      </c>
      <c r="P28" s="219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441">
        <f t="shared" si="0"/>
        <v>0.21890382222222221</v>
      </c>
      <c r="H29" s="441">
        <f t="shared" si="4"/>
        <v>157.61075199999999</v>
      </c>
      <c r="I29" s="217"/>
      <c r="J29" s="217"/>
      <c r="K29" s="217"/>
      <c r="L29" s="214" t="str">
        <f t="shared" si="2"/>
        <v>Instances</v>
      </c>
      <c r="M29" s="443">
        <f t="shared" si="3"/>
        <v>0</v>
      </c>
      <c r="N29" s="443">
        <f t="shared" si="1"/>
        <v>0</v>
      </c>
      <c r="P29" s="219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442">
        <f t="shared" si="0"/>
        <v>0.41886404444444442</v>
      </c>
      <c r="H30" s="442">
        <f t="shared" si="4"/>
        <v>301.582112</v>
      </c>
      <c r="I30" s="217"/>
      <c r="J30" s="217"/>
      <c r="K30" s="217"/>
      <c r="L30" s="220" t="str">
        <f t="shared" si="2"/>
        <v>Instances</v>
      </c>
      <c r="M30" s="444">
        <f t="shared" si="3"/>
        <v>0</v>
      </c>
      <c r="N30" s="485">
        <f t="shared" si="1"/>
        <v>0</v>
      </c>
      <c r="P30" s="219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441">
        <f t="shared" si="0"/>
        <v>5.840943333333333E-2</v>
      </c>
      <c r="H31" s="441">
        <f t="shared" si="4"/>
        <v>42.054791999999999</v>
      </c>
      <c r="I31" s="217"/>
      <c r="J31" s="217"/>
      <c r="K31" s="217"/>
      <c r="L31" s="214" t="str">
        <f t="shared" si="2"/>
        <v>Instances</v>
      </c>
      <c r="M31" s="443">
        <f t="shared" si="3"/>
        <v>0</v>
      </c>
      <c r="N31" s="443">
        <f t="shared" si="1"/>
        <v>0</v>
      </c>
      <c r="P31" s="219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442">
        <f t="shared" si="0"/>
        <v>9.7875266666666669E-2</v>
      </c>
      <c r="H32" s="442">
        <f t="shared" si="4"/>
        <v>70.470191999999997</v>
      </c>
      <c r="I32" s="217"/>
      <c r="J32" s="217"/>
      <c r="K32" s="217"/>
      <c r="L32" s="220" t="str">
        <f t="shared" si="2"/>
        <v>Instances</v>
      </c>
      <c r="M32" s="444">
        <f t="shared" si="3"/>
        <v>0</v>
      </c>
      <c r="N32" s="485">
        <f t="shared" si="1"/>
        <v>0</v>
      </c>
      <c r="P32" s="219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441">
        <f t="shared" si="0"/>
        <v>0.17680693333333333</v>
      </c>
      <c r="H33" s="441">
        <f t="shared" si="4"/>
        <v>127.30099199999999</v>
      </c>
      <c r="I33" s="217"/>
      <c r="J33" s="217"/>
      <c r="K33" s="217"/>
      <c r="L33" s="214" t="str">
        <f t="shared" si="2"/>
        <v>Instances</v>
      </c>
      <c r="M33" s="443">
        <f t="shared" si="3"/>
        <v>0</v>
      </c>
      <c r="N33" s="443">
        <f t="shared" si="1"/>
        <v>0</v>
      </c>
      <c r="P33" s="219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442">
        <f t="shared" ref="G34:G35" si="5">H34/720</f>
        <v>0.3346702666666666</v>
      </c>
      <c r="H34" s="442">
        <f t="shared" ref="H34" si="6">C34*IAAS_vcpu_EUR+D34*IAAS_ram_EUR+E34*IAAS_ssd_EUR</f>
        <v>240.96259199999997</v>
      </c>
      <c r="I34" s="217"/>
      <c r="J34" s="217"/>
      <c r="K34" s="217"/>
      <c r="L34" s="220" t="str">
        <f>L33</f>
        <v>Instances</v>
      </c>
      <c r="M34" s="444">
        <f t="shared" ref="M34:M35" si="7">ROUNDUP(I34*H34,2)</f>
        <v>0</v>
      </c>
      <c r="N34" s="485">
        <f t="shared" ref="N34:N35" si="8">J34*C34*SW_win.ser.201X_EUR+K34*C34*SW_ms.sql.ser_EUR</f>
        <v>0</v>
      </c>
      <c r="P34" s="219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441">
        <f t="shared" si="5"/>
        <v>0.65039693333333326</v>
      </c>
      <c r="H35" s="441">
        <f>C35*IAAS_vcpu_EUR+D35*IAAS_ram_EUR+E35*IAAS_ssd_EUR</f>
        <v>468.28579199999996</v>
      </c>
      <c r="I35" s="217"/>
      <c r="J35" s="217"/>
      <c r="K35" s="217"/>
      <c r="L35" s="214" t="str">
        <f>L34</f>
        <v>Instances</v>
      </c>
      <c r="M35" s="443">
        <f t="shared" si="7"/>
        <v>0</v>
      </c>
      <c r="N35" s="443">
        <f t="shared" si="8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442">
        <f t="shared" si="0"/>
        <v>1.2818502666666667</v>
      </c>
      <c r="H36" s="442">
        <f t="shared" si="4"/>
        <v>922.93219199999999</v>
      </c>
      <c r="I36" s="217"/>
      <c r="J36" s="217"/>
      <c r="K36" s="217"/>
      <c r="L36" s="220" t="str">
        <f>L35</f>
        <v>Instances</v>
      </c>
      <c r="M36" s="444">
        <f t="shared" si="3"/>
        <v>0</v>
      </c>
      <c r="N36" s="485">
        <f t="shared" si="1"/>
        <v>0</v>
      </c>
      <c r="P36" s="219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441">
        <f t="shared" si="0"/>
        <v>2.5447569333333333</v>
      </c>
      <c r="H37" s="441">
        <f>C37*IAAS_vcpu_EUR+D37*IAAS_ram_EUR+E37*IAAS_ssd_EUR</f>
        <v>1832.2249919999999</v>
      </c>
      <c r="I37" s="217"/>
      <c r="J37" s="217"/>
      <c r="K37" s="217"/>
      <c r="L37" s="214" t="str">
        <f>L36</f>
        <v>Instances</v>
      </c>
      <c r="M37" s="443">
        <f t="shared" si="3"/>
        <v>0</v>
      </c>
      <c r="N37" s="443">
        <f t="shared" si="1"/>
        <v>0</v>
      </c>
      <c r="P37" s="219"/>
      <c r="U37" s="200"/>
      <c r="V37" s="200"/>
      <c r="W37" s="200"/>
    </row>
    <row r="38" spans="2:23" ht="25.5" customHeight="1">
      <c r="B38" s="501" t="s">
        <v>32</v>
      </c>
      <c r="C38" s="89"/>
      <c r="D38" s="89"/>
      <c r="E38" s="89"/>
      <c r="F38" s="225"/>
      <c r="G38" s="226"/>
      <c r="H38" s="227"/>
      <c r="I38" s="162">
        <f>SUM(I25:I37)</f>
        <v>0</v>
      </c>
      <c r="J38" s="162">
        <f>SUM(J25:J37)</f>
        <v>0</v>
      </c>
      <c r="K38" s="162">
        <f>SUM(K25:K37)</f>
        <v>0</v>
      </c>
      <c r="L38" s="163"/>
      <c r="M38" s="445">
        <f>SUM(M25:M37)</f>
        <v>0</v>
      </c>
      <c r="N38" s="446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33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10</v>
      </c>
      <c r="C42" s="13" t="s">
        <v>11</v>
      </c>
      <c r="D42" s="13" t="s">
        <v>12</v>
      </c>
      <c r="E42" s="14" t="s">
        <v>34</v>
      </c>
      <c r="F42" s="206"/>
      <c r="G42" s="207" t="s">
        <v>14</v>
      </c>
      <c r="H42" s="207" t="s">
        <v>15</v>
      </c>
      <c r="I42" s="208" t="s">
        <v>16</v>
      </c>
      <c r="J42" s="208" t="s">
        <v>17</v>
      </c>
      <c r="K42" s="208" t="s">
        <v>18</v>
      </c>
      <c r="L42" s="209"/>
      <c r="M42" s="207" t="s">
        <v>19</v>
      </c>
      <c r="N42" s="207" t="s">
        <v>20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448">
        <f t="shared" ref="G43:G61" si="9">H43/720</f>
        <v>2.8283847222222217E-2</v>
      </c>
      <c r="H43" s="448">
        <f t="shared" ref="H43:H61" si="10">C43*IAAS_vcpu_EUR+D43*IAAS_ram_EUR+E43*IAAS_nvme_EUR</f>
        <v>20.364369999999997</v>
      </c>
      <c r="I43" s="217"/>
      <c r="J43" s="217"/>
      <c r="K43" s="217"/>
      <c r="L43" s="249" t="str">
        <f>L37</f>
        <v>Instances</v>
      </c>
      <c r="M43" s="443">
        <f t="shared" ref="M43:M61" si="11">ROUNDUP(I43*H43,2)</f>
        <v>0</v>
      </c>
      <c r="N43" s="443">
        <f t="shared" ref="N43:N61" si="12">J43*C43*SW_win.ser.201X_EUR+K43*C43*SW_ms.sql.ser_EUR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447">
        <f t="shared" si="9"/>
        <v>0.13286830555555557</v>
      </c>
      <c r="H44" s="447">
        <f t="shared" si="10"/>
        <v>95.665180000000007</v>
      </c>
      <c r="I44" s="217"/>
      <c r="J44" s="217"/>
      <c r="K44" s="217"/>
      <c r="L44" s="251" t="str">
        <f>L43</f>
        <v>Instances</v>
      </c>
      <c r="M44" s="444">
        <f t="shared" si="11"/>
        <v>0</v>
      </c>
      <c r="N44" s="444">
        <f t="shared" si="12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448">
        <f t="shared" si="9"/>
        <v>0.23284841666666667</v>
      </c>
      <c r="H45" s="448">
        <f t="shared" si="10"/>
        <v>167.65085999999999</v>
      </c>
      <c r="I45" s="217"/>
      <c r="J45" s="217"/>
      <c r="K45" s="217"/>
      <c r="L45" s="249" t="str">
        <f t="shared" ref="L45:L62" si="13">L44</f>
        <v>Instances</v>
      </c>
      <c r="M45" s="443">
        <f t="shared" si="11"/>
        <v>0</v>
      </c>
      <c r="N45" s="443">
        <f t="shared" si="12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447">
        <f t="shared" si="9"/>
        <v>0.43280863888888893</v>
      </c>
      <c r="H46" s="447">
        <f t="shared" si="10"/>
        <v>311.62222000000003</v>
      </c>
      <c r="I46" s="217"/>
      <c r="J46" s="217"/>
      <c r="K46" s="217"/>
      <c r="L46" s="251" t="str">
        <f t="shared" si="13"/>
        <v>Instances</v>
      </c>
      <c r="M46" s="444">
        <f t="shared" si="11"/>
        <v>0</v>
      </c>
      <c r="N46" s="444">
        <f t="shared" si="12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448">
        <f t="shared" si="9"/>
        <v>0.46569683333333334</v>
      </c>
      <c r="H47" s="448">
        <f t="shared" si="10"/>
        <v>335.30171999999999</v>
      </c>
      <c r="I47" s="217"/>
      <c r="J47" s="217"/>
      <c r="K47" s="217"/>
      <c r="L47" s="249" t="str">
        <f t="shared" si="13"/>
        <v>Instances</v>
      </c>
      <c r="M47" s="443">
        <f t="shared" si="11"/>
        <v>0</v>
      </c>
      <c r="N47" s="443">
        <f t="shared" si="12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447">
        <f t="shared" si="9"/>
        <v>0.53147322222222226</v>
      </c>
      <c r="H48" s="447">
        <f t="shared" si="10"/>
        <v>382.66072000000003</v>
      </c>
      <c r="I48" s="217"/>
      <c r="J48" s="217"/>
      <c r="K48" s="217"/>
      <c r="L48" s="251" t="str">
        <f t="shared" si="13"/>
        <v>Instances</v>
      </c>
      <c r="M48" s="444">
        <f t="shared" si="11"/>
        <v>0</v>
      </c>
      <c r="N48" s="444">
        <f t="shared" si="12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448">
        <f t="shared" si="9"/>
        <v>0.83272908333333329</v>
      </c>
      <c r="H49" s="448">
        <f t="shared" si="10"/>
        <v>599.56493999999998</v>
      </c>
      <c r="I49" s="217"/>
      <c r="J49" s="217"/>
      <c r="K49" s="217"/>
      <c r="L49" s="249" t="str">
        <f t="shared" si="13"/>
        <v>Instances</v>
      </c>
      <c r="M49" s="443">
        <f t="shared" si="11"/>
        <v>0</v>
      </c>
      <c r="N49" s="443">
        <f t="shared" si="12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447">
        <f t="shared" si="9"/>
        <v>0.86561727777777786</v>
      </c>
      <c r="H50" s="447">
        <f t="shared" si="10"/>
        <v>623.24444000000005</v>
      </c>
      <c r="I50" s="217"/>
      <c r="J50" s="217"/>
      <c r="K50" s="217"/>
      <c r="L50" s="251" t="str">
        <f t="shared" si="13"/>
        <v>Instances</v>
      </c>
      <c r="M50" s="444">
        <f t="shared" si="11"/>
        <v>0</v>
      </c>
      <c r="N50" s="444">
        <f t="shared" si="12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448">
        <f t="shared" si="9"/>
        <v>0.93139366666666668</v>
      </c>
      <c r="H51" s="448">
        <f t="shared" si="10"/>
        <v>670.60343999999998</v>
      </c>
      <c r="I51" s="217"/>
      <c r="J51" s="217"/>
      <c r="K51" s="217"/>
      <c r="L51" s="249" t="str">
        <f t="shared" si="13"/>
        <v>Instances</v>
      </c>
      <c r="M51" s="443">
        <f t="shared" si="11"/>
        <v>0</v>
      </c>
      <c r="N51" s="443">
        <f t="shared" si="12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447">
        <f t="shared" si="9"/>
        <v>0.19075152777777776</v>
      </c>
      <c r="H52" s="447">
        <f t="shared" si="10"/>
        <v>137.34109999999998</v>
      </c>
      <c r="I52" s="217"/>
      <c r="J52" s="217"/>
      <c r="K52" s="217"/>
      <c r="L52" s="251" t="str">
        <f t="shared" si="13"/>
        <v>Instances</v>
      </c>
      <c r="M52" s="444">
        <f t="shared" si="11"/>
        <v>0</v>
      </c>
      <c r="N52" s="444">
        <f t="shared" si="12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448">
        <f t="shared" si="9"/>
        <v>0.34861486111111106</v>
      </c>
      <c r="H53" s="448">
        <f t="shared" si="10"/>
        <v>251.00269999999998</v>
      </c>
      <c r="I53" s="217"/>
      <c r="J53" s="217"/>
      <c r="K53" s="217"/>
      <c r="L53" s="249" t="str">
        <f t="shared" si="13"/>
        <v>Instances</v>
      </c>
      <c r="M53" s="443">
        <f t="shared" si="11"/>
        <v>0</v>
      </c>
      <c r="N53" s="443">
        <f t="shared" si="12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447">
        <f t="shared" si="9"/>
        <v>0.38150305555555553</v>
      </c>
      <c r="H54" s="447">
        <f t="shared" si="10"/>
        <v>274.68219999999997</v>
      </c>
      <c r="I54" s="217"/>
      <c r="J54" s="217"/>
      <c r="K54" s="217"/>
      <c r="L54" s="251" t="str">
        <f t="shared" si="13"/>
        <v>Instances</v>
      </c>
      <c r="M54" s="444">
        <f t="shared" si="11"/>
        <v>0</v>
      </c>
      <c r="N54" s="444">
        <f t="shared" si="12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448">
        <f t="shared" si="9"/>
        <v>0.44727944444444445</v>
      </c>
      <c r="H55" s="448">
        <f t="shared" si="10"/>
        <v>322.0412</v>
      </c>
      <c r="I55" s="217"/>
      <c r="J55" s="217"/>
      <c r="K55" s="217"/>
      <c r="L55" s="249" t="str">
        <f t="shared" si="13"/>
        <v>Instances</v>
      </c>
      <c r="M55" s="443">
        <f t="shared" si="11"/>
        <v>0</v>
      </c>
      <c r="N55" s="443">
        <f t="shared" si="12"/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447">
        <f t="shared" si="9"/>
        <v>0.66434152777777777</v>
      </c>
      <c r="H56" s="447">
        <f t="shared" si="10"/>
        <v>478.32589999999999</v>
      </c>
      <c r="I56" s="217"/>
      <c r="J56" s="217"/>
      <c r="K56" s="217"/>
      <c r="L56" s="251" t="str">
        <f t="shared" si="13"/>
        <v>Instances</v>
      </c>
      <c r="M56" s="444">
        <f t="shared" si="11"/>
        <v>0</v>
      </c>
      <c r="N56" s="444">
        <f t="shared" si="12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448">
        <f t="shared" si="9"/>
        <v>0.69722972222222213</v>
      </c>
      <c r="H57" s="448">
        <f t="shared" si="10"/>
        <v>502.00539999999995</v>
      </c>
      <c r="I57" s="217"/>
      <c r="J57" s="217"/>
      <c r="K57" s="217"/>
      <c r="L57" s="249" t="str">
        <f t="shared" si="13"/>
        <v>Instances</v>
      </c>
      <c r="M57" s="443">
        <f t="shared" si="11"/>
        <v>0</v>
      </c>
      <c r="N57" s="443">
        <f t="shared" si="12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447">
        <f t="shared" ref="G58:G59" si="14">H58/720</f>
        <v>0.76300611111111105</v>
      </c>
      <c r="H58" s="447">
        <f t="shared" ref="H58:H59" si="15">C58*IAAS_vcpu_EUR+D58*IAAS_ram_EUR+E58*IAAS_nvme_EUR</f>
        <v>549.36439999999993</v>
      </c>
      <c r="I58" s="217"/>
      <c r="J58" s="217"/>
      <c r="K58" s="217"/>
      <c r="L58" s="251" t="str">
        <f t="shared" si="13"/>
        <v>Instances</v>
      </c>
      <c r="M58" s="444">
        <f t="shared" ref="M58:M59" si="16">ROUNDUP(I58*H58,2)</f>
        <v>0</v>
      </c>
      <c r="N58" s="444">
        <f t="shared" si="12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448">
        <f t="shared" si="14"/>
        <v>1.295794861111111</v>
      </c>
      <c r="H59" s="448">
        <f t="shared" si="15"/>
        <v>932.9722999999999</v>
      </c>
      <c r="I59" s="217"/>
      <c r="J59" s="217"/>
      <c r="K59" s="217"/>
      <c r="L59" s="249" t="str">
        <f t="shared" si="13"/>
        <v>Instances</v>
      </c>
      <c r="M59" s="443">
        <f t="shared" si="16"/>
        <v>0</v>
      </c>
      <c r="N59" s="443">
        <f t="shared" si="12"/>
        <v>0</v>
      </c>
      <c r="P59" s="219"/>
      <c r="U59" s="200"/>
      <c r="W59" s="200"/>
    </row>
    <row r="60" spans="2:23" s="192" customFormat="1" ht="25.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447">
        <f t="shared" si="9"/>
        <v>1.3286830555555555</v>
      </c>
      <c r="H60" s="447">
        <f t="shared" si="10"/>
        <v>956.65179999999998</v>
      </c>
      <c r="I60" s="217"/>
      <c r="J60" s="217"/>
      <c r="K60" s="217"/>
      <c r="L60" s="251" t="str">
        <f t="shared" si="13"/>
        <v>Instances</v>
      </c>
      <c r="M60" s="444">
        <f t="shared" si="11"/>
        <v>0</v>
      </c>
      <c r="N60" s="444">
        <f t="shared" si="12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448">
        <f t="shared" si="9"/>
        <v>1.3944594444444443</v>
      </c>
      <c r="H61" s="448">
        <f t="shared" si="10"/>
        <v>1004.0107999999999</v>
      </c>
      <c r="I61" s="217"/>
      <c r="J61" s="217"/>
      <c r="K61" s="217"/>
      <c r="L61" s="249" t="str">
        <f t="shared" si="13"/>
        <v>Instances</v>
      </c>
      <c r="M61" s="443">
        <f t="shared" si="11"/>
        <v>0</v>
      </c>
      <c r="N61" s="443">
        <f t="shared" si="12"/>
        <v>0</v>
      </c>
      <c r="P61" s="219"/>
      <c r="U61" s="200"/>
      <c r="W61" s="200"/>
    </row>
    <row r="62" spans="2:23" s="192" customFormat="1" ht="25.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447">
        <f t="shared" ref="G62" si="17">H62/720</f>
        <v>2.6573661111111111</v>
      </c>
      <c r="H62" s="447">
        <f t="shared" ref="H62" si="18">C62*IAAS_vcpu_EUR+D62*IAAS_ram_EUR+E62*IAAS_nvme_EUR</f>
        <v>1913.3036</v>
      </c>
      <c r="I62" s="217"/>
      <c r="J62" s="217"/>
      <c r="K62" s="217"/>
      <c r="L62" s="251" t="str">
        <f t="shared" si="13"/>
        <v>Instances</v>
      </c>
      <c r="M62" s="444">
        <f t="shared" ref="M62" si="19">ROUNDUP(I62*H62,2)</f>
        <v>0</v>
      </c>
      <c r="N62" s="444">
        <f t="shared" ref="N62" si="20">J62*C62*SW_win.ser.201X_EUR+K62*C62*SW_ms.sql.ser_EUR</f>
        <v>0</v>
      </c>
      <c r="P62" s="219"/>
      <c r="U62" s="200"/>
      <c r="W62" s="200"/>
    </row>
    <row r="63" spans="2:23" s="192" customFormat="1" ht="25.5" customHeight="1">
      <c r="B63" s="501" t="s">
        <v>32</v>
      </c>
      <c r="C63" s="89"/>
      <c r="D63" s="89"/>
      <c r="E63" s="89"/>
      <c r="F63" s="225"/>
      <c r="G63" s="226"/>
      <c r="H63" s="227"/>
      <c r="I63" s="162">
        <f>SUM(I43:I62)</f>
        <v>0</v>
      </c>
      <c r="J63" s="162">
        <f>SUM(J43:J62)</f>
        <v>0</v>
      </c>
      <c r="K63" s="162">
        <f>SUM(K43:K62)</f>
        <v>0</v>
      </c>
      <c r="L63" s="163"/>
      <c r="M63" s="445">
        <f>SUM(M43:M61)</f>
        <v>0</v>
      </c>
      <c r="N63" s="446">
        <f>SUM(N43:N61)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54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10</v>
      </c>
      <c r="C67" s="13" t="s">
        <v>11</v>
      </c>
      <c r="D67" s="13" t="s">
        <v>12</v>
      </c>
      <c r="E67" s="14" t="s">
        <v>34</v>
      </c>
      <c r="F67" s="206" t="s">
        <v>55</v>
      </c>
      <c r="G67" s="207" t="s">
        <v>14</v>
      </c>
      <c r="H67" s="207" t="s">
        <v>15</v>
      </c>
      <c r="I67" s="208" t="s">
        <v>16</v>
      </c>
      <c r="J67" s="208" t="s">
        <v>17</v>
      </c>
      <c r="K67" s="208" t="s">
        <v>18</v>
      </c>
      <c r="L67" s="209"/>
      <c r="M67" s="207" t="s">
        <v>19</v>
      </c>
      <c r="N67" s="207" t="s">
        <v>20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48">
        <f t="shared" ref="G68:G71" si="21">H68/720</f>
        <v>0.91429180555555545</v>
      </c>
      <c r="H68" s="448">
        <f>C68*IAAS_vcpu_EUR+D68*IAAS_ram_EUR+E68*IAAS_nvme_EUR+F68*IAAS_gpu_EUR</f>
        <v>658.29009999999994</v>
      </c>
      <c r="I68" s="217"/>
      <c r="J68" s="217"/>
      <c r="K68" s="217"/>
      <c r="L68" s="249" t="str">
        <f>L57</f>
        <v>Instances</v>
      </c>
      <c r="M68" s="443">
        <f t="shared" ref="M68:M71" si="22">ROUNDUP(I68*H68,2)</f>
        <v>0</v>
      </c>
      <c r="N68" s="443">
        <f>J68*C68*SW_win.ser.201X_EUR+K68*C68*SW_ms.sql.ser_EUR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47">
        <f t="shared" si="21"/>
        <v>1.8285836111111109</v>
      </c>
      <c r="H69" s="447">
        <f>C69*IAAS_vcpu_EUR+D69*IAAS_ram_EUR+E69*IAAS_nvme_EUR+F69*IAAS_gpu_EUR</f>
        <v>1316.5801999999999</v>
      </c>
      <c r="I69" s="217"/>
      <c r="J69" s="217"/>
      <c r="K69" s="217"/>
      <c r="L69" s="245" t="str">
        <f>L58</f>
        <v>Instances</v>
      </c>
      <c r="M69" s="444">
        <f t="shared" si="22"/>
        <v>0</v>
      </c>
      <c r="N69" s="444">
        <f>J69*C69*SW_win.ser.201X_EUR+K69*C69*SW_ms.sql.ser_EUR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48">
        <f t="shared" si="21"/>
        <v>3.6571672222222218</v>
      </c>
      <c r="H70" s="448">
        <f>C70*IAAS_vcpu_EUR+D70*IAAS_ram_EUR+E70*IAAS_nvme_EUR+F70*IAAS_gpu_EUR</f>
        <v>2633.1603999999998</v>
      </c>
      <c r="I70" s="217"/>
      <c r="J70" s="217"/>
      <c r="K70" s="217"/>
      <c r="L70" s="249" t="str">
        <f>L59</f>
        <v>Instances</v>
      </c>
      <c r="M70" s="443">
        <f t="shared" si="22"/>
        <v>0</v>
      </c>
      <c r="N70" s="443">
        <f>J70*C70*SW_win.ser.201X_EUR+K70*C70*SW_ms.sql.ser_EUR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47">
        <f t="shared" si="21"/>
        <v>5.7357011111111103</v>
      </c>
      <c r="H71" s="447">
        <f>C71*IAAS_vcpu_EUR+D71*IAAS_ram_EUR+E71*IAAS_nvme_EUR+F71*IAAS_gpu_EUR</f>
        <v>4129.7047999999995</v>
      </c>
      <c r="I71" s="217"/>
      <c r="J71" s="217"/>
      <c r="K71" s="217"/>
      <c r="L71" s="245" t="str">
        <f>L60</f>
        <v>Instances</v>
      </c>
      <c r="M71" s="444">
        <f t="shared" si="22"/>
        <v>0</v>
      </c>
      <c r="N71" s="444">
        <f>J71*C71*SW_win.ser.201X_EUR+K71*C71*SW_ms.sql.ser_EUR</f>
        <v>0</v>
      </c>
      <c r="P71" s="219"/>
      <c r="U71" s="200"/>
      <c r="W71" s="200"/>
    </row>
    <row r="72" spans="2:24" s="268" customFormat="1" ht="25.5" customHeight="1">
      <c r="B72" s="501" t="s">
        <v>32</v>
      </c>
      <c r="C72" s="89"/>
      <c r="D72" s="89"/>
      <c r="E72" s="89"/>
      <c r="F72" s="225"/>
      <c r="G72" s="226"/>
      <c r="H72" s="227"/>
      <c r="I72" s="162">
        <f>SUM(I68:I71)</f>
        <v>0</v>
      </c>
      <c r="J72" s="162">
        <f>SUM(J68:J71)</f>
        <v>0</v>
      </c>
      <c r="K72" s="162">
        <f>SUM(K68:K71)</f>
        <v>0</v>
      </c>
      <c r="L72" s="163"/>
      <c r="M72" s="445">
        <f>SUM(M68:M71)</f>
        <v>0</v>
      </c>
      <c r="N72" s="446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60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8" t="s">
        <v>10</v>
      </c>
      <c r="C76" s="13" t="s">
        <v>11</v>
      </c>
      <c r="D76" s="13" t="s">
        <v>12</v>
      </c>
      <c r="E76" s="14" t="s">
        <v>34</v>
      </c>
      <c r="F76" s="206"/>
      <c r="G76" s="207" t="s">
        <v>14</v>
      </c>
      <c r="H76" s="207" t="s">
        <v>15</v>
      </c>
      <c r="I76" s="208" t="s">
        <v>16</v>
      </c>
      <c r="J76" s="208" t="s">
        <v>17</v>
      </c>
      <c r="K76" s="208" t="s">
        <v>18</v>
      </c>
      <c r="L76" s="209"/>
      <c r="M76" s="207" t="s">
        <v>19</v>
      </c>
      <c r="N76" s="207" t="s">
        <v>20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448">
        <f t="shared" ref="G77:G79" si="23">H77/720</f>
        <v>0.89982099999999998</v>
      </c>
      <c r="H77" s="448">
        <f>INSTANCE_p1.2xlarge.16d_EUR</f>
        <v>647.87112000000002</v>
      </c>
      <c r="I77" s="217"/>
      <c r="J77" s="217"/>
      <c r="K77" s="217"/>
      <c r="L77" s="214" t="s">
        <v>62</v>
      </c>
      <c r="M77" s="443">
        <f t="shared" ref="M77:M79" si="24">ROUNDUP(I77*H77,2)</f>
        <v>0</v>
      </c>
      <c r="N77" s="443">
        <f>J77*C77*SW_win.ser.201X_EUR+K77*C77*SW_ms.sql.ser_EUR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447">
        <f t="shared" si="23"/>
        <v>1.799642</v>
      </c>
      <c r="H78" s="447">
        <f>INSTANCE_p1.4xlarge.16d_EUR</f>
        <v>1295.74224</v>
      </c>
      <c r="I78" s="217"/>
      <c r="J78" s="217"/>
      <c r="K78" s="217"/>
      <c r="L78" s="220" t="str">
        <f t="shared" ref="L78" si="25">L77</f>
        <v>Instanser</v>
      </c>
      <c r="M78" s="444">
        <f t="shared" si="24"/>
        <v>0</v>
      </c>
      <c r="N78" s="444">
        <f>J78*C78*SW_win.ser.201X_EUR+K78*C78*SW_ms.sql.ser_EUR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449">
        <f t="shared" si="23"/>
        <v>3.5992839999999999</v>
      </c>
      <c r="H79" s="450">
        <f>INSTANCE_p1.8xlarge.32d_EUR</f>
        <v>2591.4844800000001</v>
      </c>
      <c r="I79" s="217"/>
      <c r="J79" s="217"/>
      <c r="K79" s="217"/>
      <c r="L79" s="214" t="s">
        <v>62</v>
      </c>
      <c r="M79" s="443">
        <f t="shared" si="24"/>
        <v>0</v>
      </c>
      <c r="N79" s="443">
        <f>J79*C79*SW_win.ser.201X_EUR+K79*C79*SW_ms.sql.ser_EUR</f>
        <v>0</v>
      </c>
      <c r="O79" s="280"/>
      <c r="P79" s="281"/>
    </row>
    <row r="80" spans="2:24" ht="25.5" customHeight="1">
      <c r="B80" s="501" t="s">
        <v>32</v>
      </c>
      <c r="C80" s="89"/>
      <c r="D80" s="89"/>
      <c r="E80" s="89"/>
      <c r="F80" s="225"/>
      <c r="G80" s="226"/>
      <c r="H80" s="227"/>
      <c r="I80" s="162">
        <f>SUM(I77:I79)</f>
        <v>0</v>
      </c>
      <c r="J80" s="162">
        <f>SUM(J77:J79)</f>
        <v>0</v>
      </c>
      <c r="K80" s="162">
        <f>SUM(K77:K79)</f>
        <v>0</v>
      </c>
      <c r="L80" s="163"/>
      <c r="M80" s="445">
        <f>SUM(M77:M79)</f>
        <v>0</v>
      </c>
      <c r="N80" s="446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65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10</v>
      </c>
      <c r="C84" s="26" t="s">
        <v>66</v>
      </c>
      <c r="D84" s="26"/>
      <c r="E84" s="139" t="s">
        <v>14</v>
      </c>
      <c r="F84" s="651" t="s">
        <v>67</v>
      </c>
      <c r="G84" s="651"/>
      <c r="H84" s="649"/>
      <c r="I84" s="649"/>
      <c r="J84" s="285" t="s">
        <v>68</v>
      </c>
      <c r="K84" s="284"/>
      <c r="L84" s="284"/>
      <c r="M84" s="284"/>
      <c r="N84" s="612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451">
        <f>F85/720</f>
        <v>1.5786333333333332E-4</v>
      </c>
      <c r="F85" s="664">
        <f>VOLUME_large_EUR</f>
        <v>0.11366159999999999</v>
      </c>
      <c r="G85" s="664"/>
      <c r="H85" s="665"/>
      <c r="I85" s="665"/>
      <c r="J85" s="290"/>
      <c r="K85" s="291" t="s">
        <v>71</v>
      </c>
      <c r="L85" s="291"/>
      <c r="M85" s="292"/>
      <c r="N85" s="45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452">
        <f>F86/720</f>
        <v>4.7358999999999997E-4</v>
      </c>
      <c r="F86" s="658">
        <f>VOLUME_fast_EUR</f>
        <v>0.34098479999999998</v>
      </c>
      <c r="G86" s="658"/>
      <c r="H86" s="659"/>
      <c r="I86" s="659"/>
      <c r="J86" s="294"/>
      <c r="K86" s="295" t="s">
        <v>71</v>
      </c>
      <c r="L86" s="295"/>
      <c r="M86" s="296"/>
      <c r="N86" s="454">
        <f>ROUNDUP(J86*F86,2)</f>
        <v>0</v>
      </c>
      <c r="O86" s="201"/>
      <c r="P86" s="219"/>
      <c r="Y86" s="200"/>
    </row>
    <row r="87" spans="2:25" ht="25.5" customHeight="1">
      <c r="B87" s="501" t="s">
        <v>32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446">
        <f>SUM(N85:N86)</f>
        <v>0</v>
      </c>
      <c r="O87" s="202"/>
      <c r="P87" s="205"/>
    </row>
    <row r="88" spans="2:25" ht="25.5" customHeight="1">
      <c r="B88" s="510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60" t="s">
        <v>75</v>
      </c>
      <c r="C94" s="660"/>
      <c r="D94" s="660"/>
      <c r="E94" s="660"/>
      <c r="F94" s="660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1" t="s">
        <v>76</v>
      </c>
      <c r="C95" s="661"/>
      <c r="D95" s="661"/>
      <c r="E95" s="661"/>
      <c r="F95" s="661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8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10</v>
      </c>
      <c r="C98" s="12" t="s">
        <v>77</v>
      </c>
      <c r="D98" s="651" t="s">
        <v>78</v>
      </c>
      <c r="E98" s="651"/>
      <c r="F98" s="651"/>
      <c r="G98" s="651"/>
      <c r="H98" s="651"/>
      <c r="I98" s="651"/>
      <c r="J98" s="651"/>
      <c r="K98" s="651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62">
        <f>S3_storage.50_EUR</f>
        <v>33.151299999999999</v>
      </c>
      <c r="E99" s="662"/>
      <c r="F99" s="663"/>
      <c r="G99" s="663"/>
      <c r="H99" s="663"/>
      <c r="I99" s="663"/>
      <c r="J99" s="663"/>
      <c r="K99" s="663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47">
        <f>S3_storage.100_EUR</f>
        <v>25.57386</v>
      </c>
      <c r="E100" s="647"/>
      <c r="F100" s="648"/>
      <c r="G100" s="648"/>
      <c r="H100" s="648"/>
      <c r="I100" s="648"/>
      <c r="J100" s="648"/>
      <c r="K100" s="648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56">
        <f>S3_storage.500_EUR</f>
        <v>18.9436</v>
      </c>
      <c r="E101" s="656"/>
      <c r="F101" s="657"/>
      <c r="G101" s="657"/>
      <c r="H101" s="657"/>
      <c r="I101" s="657"/>
      <c r="J101" s="657"/>
      <c r="K101" s="657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47">
        <f>S3_storage.1000_EUR</f>
        <v>17.522829999999999</v>
      </c>
      <c r="E102" s="647"/>
      <c r="F102" s="648"/>
      <c r="G102" s="648"/>
      <c r="H102" s="648"/>
      <c r="I102" s="648"/>
      <c r="J102" s="648"/>
      <c r="K102" s="648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50" t="str">
        <f>S3_storage.quote_EUR</f>
        <v>Ask for quote</v>
      </c>
      <c r="E103" s="650"/>
      <c r="F103" s="650"/>
      <c r="G103" s="650"/>
      <c r="H103" s="650"/>
      <c r="I103" s="650"/>
      <c r="J103" s="650"/>
      <c r="K103" s="650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10</v>
      </c>
      <c r="C106" s="26"/>
      <c r="D106" s="26"/>
      <c r="E106" s="138" t="s">
        <v>14</v>
      </c>
      <c r="F106" s="651" t="s">
        <v>85</v>
      </c>
      <c r="G106" s="651"/>
      <c r="H106" s="285" t="s">
        <v>77</v>
      </c>
      <c r="I106" s="284"/>
      <c r="J106" s="284"/>
      <c r="K106" s="284"/>
      <c r="L106" s="284"/>
      <c r="M106" s="284"/>
      <c r="N106" s="612" t="s">
        <v>86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488" cm="1">
        <f t="array" ref="E107">_xlfn.IFS(H107&lt;1001,F107/720,H107&gt;1000,D103)</f>
        <v>4.6043472222222222E-2</v>
      </c>
      <c r="F107" s="652" cm="1">
        <f t="array" ref="F107">_xlfn.IFS(H107&lt;51,D99,H107&lt;101,D100,H107&lt;501,D101,H107&lt;1001,D102,H107&gt;1000,D103)</f>
        <v>33.151299999999999</v>
      </c>
      <c r="G107" s="653"/>
      <c r="H107" s="318">
        <v>0</v>
      </c>
      <c r="I107" s="319" t="s">
        <v>87</v>
      </c>
      <c r="J107" s="320"/>
      <c r="K107" s="320"/>
      <c r="L107" s="320"/>
      <c r="M107" s="321"/>
      <c r="N107" s="456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422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446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54" t="s">
        <v>90</v>
      </c>
      <c r="C115" s="654"/>
      <c r="D115" s="654"/>
      <c r="E115" s="654"/>
      <c r="F115" s="654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28" t="s">
        <v>7</v>
      </c>
      <c r="C116" s="628"/>
      <c r="D116" s="628"/>
      <c r="E116" s="628"/>
      <c r="F116" s="628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8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10</v>
      </c>
      <c r="C119" s="655" t="s">
        <v>91</v>
      </c>
      <c r="D119" s="655"/>
      <c r="E119" s="138"/>
      <c r="F119" s="651" t="s">
        <v>92</v>
      </c>
      <c r="G119" s="651"/>
      <c r="H119" s="285" t="s">
        <v>93</v>
      </c>
      <c r="I119" s="284"/>
      <c r="J119" s="649" t="s">
        <v>94</v>
      </c>
      <c r="K119" s="649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33" t="s">
        <v>96</v>
      </c>
      <c r="C120" s="633"/>
      <c r="D120" s="529" t="s">
        <v>97</v>
      </c>
      <c r="E120" s="31"/>
      <c r="F120" s="634">
        <f>BAAS_on.demand_EUR</f>
        <v>0.23205910000000002</v>
      </c>
      <c r="G120" s="635"/>
      <c r="H120" s="330">
        <v>0</v>
      </c>
      <c r="I120" s="291" t="s">
        <v>71</v>
      </c>
      <c r="J120" s="636" t="s">
        <v>97</v>
      </c>
      <c r="K120" s="636"/>
      <c r="L120" s="331"/>
      <c r="M120" s="291"/>
      <c r="N120" s="453">
        <f>ROUNDUP(H120*F120,2)</f>
        <v>0</v>
      </c>
      <c r="O120" s="271"/>
      <c r="P120" s="205"/>
    </row>
    <row r="121" spans="1:35" ht="25.5" customHeight="1">
      <c r="A121" s="329"/>
      <c r="B121" s="637" t="s">
        <v>98</v>
      </c>
      <c r="C121" s="637"/>
      <c r="D121" s="530">
        <f>BAAS_small.fee_EUR</f>
        <v>520.94899999999996</v>
      </c>
      <c r="E121" s="34"/>
      <c r="F121" s="638">
        <f>BAAS_small_EUR</f>
        <v>0.1657565</v>
      </c>
      <c r="G121" s="639"/>
      <c r="H121" s="332">
        <v>0</v>
      </c>
      <c r="I121" s="295" t="s">
        <v>71</v>
      </c>
      <c r="J121" s="640">
        <v>0.75</v>
      </c>
      <c r="K121" s="641"/>
      <c r="L121" s="295"/>
      <c r="M121" s="295"/>
      <c r="N121" s="454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42" t="s">
        <v>99</v>
      </c>
      <c r="C122" s="642"/>
      <c r="D122" s="531">
        <f>BAAS_large.fee_EUR</f>
        <v>899.82099999999991</v>
      </c>
      <c r="E122" s="37"/>
      <c r="F122" s="643">
        <f>BAAS_large_EUR</f>
        <v>8.7140560000000006E-2</v>
      </c>
      <c r="G122" s="644"/>
      <c r="H122" s="318">
        <v>0</v>
      </c>
      <c r="I122" s="319" t="s">
        <v>71</v>
      </c>
      <c r="J122" s="645">
        <v>0.75</v>
      </c>
      <c r="K122" s="646"/>
      <c r="L122" s="319"/>
      <c r="M122" s="319"/>
      <c r="N122" s="455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422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446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100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101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102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103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7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7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7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7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7" s="187" customFormat="1" ht="25.5" customHeight="1">
      <c r="B133" s="627" t="s">
        <v>104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7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7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7" s="187" customFormat="1" ht="25.5" customHeight="1">
      <c r="B136" s="628" t="s">
        <v>7</v>
      </c>
      <c r="C136" s="628"/>
      <c r="D136" s="628"/>
      <c r="E136" s="628"/>
      <c r="F136" s="628"/>
      <c r="H136" s="188"/>
      <c r="J136" s="189"/>
      <c r="K136" s="189"/>
      <c r="M136" s="190"/>
      <c r="N136" s="304"/>
      <c r="O136" s="201"/>
      <c r="P136" s="219"/>
    </row>
    <row r="137" spans="2:27" s="187" customFormat="1" ht="25.5" customHeight="1">
      <c r="B137" s="629"/>
      <c r="C137" s="629"/>
      <c r="D137" s="629"/>
      <c r="E137" s="629"/>
      <c r="F137" s="629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7" s="187" customFormat="1" ht="25.5" customHeight="1">
      <c r="B138" s="140"/>
      <c r="C138" s="140"/>
      <c r="D138" s="140"/>
      <c r="E138" s="140"/>
      <c r="F138" s="603"/>
      <c r="G138" s="194"/>
      <c r="H138" s="194"/>
      <c r="I138" s="194"/>
      <c r="J138" s="194"/>
      <c r="K138" s="194"/>
      <c r="L138" s="194"/>
      <c r="M138" s="195"/>
      <c r="N138" s="194"/>
      <c r="O138" s="196"/>
      <c r="P138" s="219"/>
      <c r="Q138" s="194"/>
      <c r="R138" s="198"/>
      <c r="S138" s="304"/>
      <c r="T138" s="201"/>
    </row>
    <row r="139" spans="2:27" s="201" customFormat="1" ht="25.5" customHeight="1">
      <c r="B139" s="460" t="s">
        <v>105</v>
      </c>
      <c r="C139" s="140"/>
      <c r="D139" s="140"/>
      <c r="E139" s="140"/>
      <c r="F139" s="603"/>
      <c r="G139" s="194"/>
      <c r="H139" s="194"/>
      <c r="I139" s="194"/>
      <c r="J139" s="194"/>
      <c r="K139" s="194"/>
      <c r="L139" s="194"/>
      <c r="M139" s="194"/>
      <c r="N139" s="194"/>
      <c r="O139" s="196"/>
      <c r="P139" s="219"/>
      <c r="Q139" s="194"/>
      <c r="R139" s="198"/>
      <c r="S139" s="304"/>
      <c r="V139" s="192"/>
      <c r="W139" s="192"/>
      <c r="X139" s="192"/>
      <c r="Y139" s="192"/>
      <c r="Z139" s="192"/>
      <c r="AA139" s="192"/>
    </row>
    <row r="140" spans="2:27" ht="25.5" customHeight="1">
      <c r="B140" s="532" t="s">
        <v>10</v>
      </c>
      <c r="C140" s="25" t="s">
        <v>106</v>
      </c>
      <c r="D140" s="25"/>
      <c r="E140" s="26" t="s">
        <v>66</v>
      </c>
      <c r="F140" s="284"/>
      <c r="G140" s="612"/>
      <c r="H140" s="612"/>
      <c r="I140" s="612"/>
      <c r="J140" s="612"/>
      <c r="K140" s="612"/>
      <c r="L140" s="338" t="s">
        <v>107</v>
      </c>
      <c r="M140" s="338"/>
      <c r="N140" s="612" t="s">
        <v>15</v>
      </c>
      <c r="O140" s="212"/>
      <c r="P140" s="219"/>
      <c r="Q140" s="340"/>
      <c r="R140" s="339"/>
      <c r="S140" s="304"/>
      <c r="T140" s="201"/>
    </row>
    <row r="141" spans="2:27" ht="25.5" customHeight="1">
      <c r="B141" s="141" t="s">
        <v>108</v>
      </c>
      <c r="C141" s="32" t="s">
        <v>109</v>
      </c>
      <c r="D141" s="136"/>
      <c r="E141" s="41" t="s">
        <v>110</v>
      </c>
      <c r="F141" s="341"/>
      <c r="G141" s="342"/>
      <c r="H141" s="342"/>
      <c r="I141" s="342"/>
      <c r="J141" s="342"/>
      <c r="K141" s="342"/>
      <c r="L141" s="343" t="s">
        <v>111</v>
      </c>
      <c r="M141" s="343"/>
      <c r="N141" s="462">
        <f>NET_publicv4_EUR</f>
        <v>1.8943599999999998</v>
      </c>
      <c r="O141" s="202"/>
      <c r="P141" s="219"/>
      <c r="Q141" s="203"/>
      <c r="R141" s="168"/>
      <c r="S141" s="304"/>
      <c r="T141" s="201"/>
    </row>
    <row r="142" spans="2:27" ht="25.5" customHeight="1">
      <c r="B142" s="144" t="s">
        <v>112</v>
      </c>
      <c r="C142" s="40" t="s">
        <v>113</v>
      </c>
      <c r="D142" s="137"/>
      <c r="E142" s="43" t="s">
        <v>110</v>
      </c>
      <c r="F142" s="344"/>
      <c r="G142" s="345"/>
      <c r="H142" s="345"/>
      <c r="I142" s="345"/>
      <c r="J142" s="345"/>
      <c r="K142" s="345"/>
      <c r="L142" s="346" t="s">
        <v>97</v>
      </c>
      <c r="M142" s="346"/>
      <c r="N142" s="607">
        <f>NET_publicv6_EUR</f>
        <v>0</v>
      </c>
      <c r="O142" s="202"/>
      <c r="P142" s="219"/>
      <c r="Q142" s="203"/>
      <c r="R142" s="168"/>
      <c r="S142" s="304"/>
      <c r="T142" s="201"/>
    </row>
    <row r="143" spans="2:27" ht="25.5" customHeight="1">
      <c r="B143" s="141" t="s">
        <v>114</v>
      </c>
      <c r="C143" s="32" t="s">
        <v>115</v>
      </c>
      <c r="D143" s="136"/>
      <c r="E143" s="155"/>
      <c r="F143" s="347"/>
      <c r="G143" s="342"/>
      <c r="H143" s="342"/>
      <c r="I143" s="342"/>
      <c r="J143" s="342"/>
      <c r="K143" s="342"/>
      <c r="L143" s="343" t="s">
        <v>71</v>
      </c>
      <c r="M143" s="343"/>
      <c r="N143" s="605">
        <f>NET_ingress_EUR</f>
        <v>0</v>
      </c>
      <c r="O143" s="202"/>
      <c r="P143" s="219"/>
      <c r="Q143" s="203"/>
      <c r="R143" s="168"/>
      <c r="S143" s="304"/>
      <c r="T143" s="201"/>
    </row>
    <row r="144" spans="2:27" ht="25.5" customHeight="1">
      <c r="B144" s="144" t="s">
        <v>116</v>
      </c>
      <c r="C144" s="512" t="s">
        <v>115</v>
      </c>
      <c r="D144" s="137"/>
      <c r="E144" s="43" t="s">
        <v>117</v>
      </c>
      <c r="F144" s="344"/>
      <c r="G144" s="348"/>
      <c r="H144" s="348"/>
      <c r="I144" s="348"/>
      <c r="J144" s="348"/>
      <c r="K144" s="348"/>
      <c r="L144" s="349" t="s">
        <v>71</v>
      </c>
      <c r="M144" s="349"/>
      <c r="N144" s="607">
        <f>NET_egress_EUR</f>
        <v>2.3679499999999999E-2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32" t="s">
        <v>119</v>
      </c>
      <c r="D145" s="136"/>
      <c r="E145" s="32"/>
      <c r="F145" s="347"/>
      <c r="G145" s="342"/>
      <c r="H145" s="342"/>
      <c r="I145" s="342"/>
      <c r="J145" s="342"/>
      <c r="K145" s="342"/>
      <c r="L145" s="343" t="s">
        <v>120</v>
      </c>
      <c r="M145" s="343"/>
      <c r="N145" s="453">
        <f>NET_mgn.slb_EUR</f>
        <v>28.415399999999998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40" t="s">
        <v>122</v>
      </c>
      <c r="D146" s="137"/>
      <c r="E146" s="43"/>
      <c r="F146" s="344"/>
      <c r="G146" s="348"/>
      <c r="H146" s="348"/>
      <c r="I146" s="348"/>
      <c r="J146" s="348"/>
      <c r="K146" s="348"/>
      <c r="L146" s="346" t="s">
        <v>97</v>
      </c>
      <c r="M146" s="346"/>
      <c r="N146" s="607">
        <f>NET_rdns_EUR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32" t="s">
        <v>124</v>
      </c>
      <c r="D147" s="136"/>
      <c r="E147" s="32"/>
      <c r="F147" s="347"/>
      <c r="G147" s="351"/>
      <c r="H147" s="351"/>
      <c r="I147" s="351"/>
      <c r="J147" s="351"/>
      <c r="K147" s="351"/>
      <c r="L147" s="352" t="s">
        <v>97</v>
      </c>
      <c r="M147" s="352"/>
      <c r="N147" s="605">
        <f>NET_saferoute_EUR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40" t="s">
        <v>126</v>
      </c>
      <c r="D148" s="137"/>
      <c r="E148" s="43"/>
      <c r="F148" s="344"/>
      <c r="G148" s="348"/>
      <c r="H148" s="348"/>
      <c r="I148" s="348"/>
      <c r="J148" s="348"/>
      <c r="K148" s="348"/>
      <c r="L148" s="346" t="s">
        <v>97</v>
      </c>
      <c r="M148" s="346"/>
      <c r="N148" s="607">
        <f>NET_byoip_EUR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533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127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2" t="s">
        <v>10</v>
      </c>
      <c r="C151" s="25"/>
      <c r="D151" s="26"/>
      <c r="E151" s="26" t="s">
        <v>66</v>
      </c>
      <c r="F151" s="284"/>
      <c r="G151" s="612"/>
      <c r="H151" s="612"/>
      <c r="I151" s="612"/>
      <c r="J151" s="612"/>
      <c r="K151" s="612"/>
      <c r="L151" s="338" t="s">
        <v>107</v>
      </c>
      <c r="M151" s="338"/>
      <c r="N151" s="612" t="s">
        <v>15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2"/>
      <c r="H152" s="342"/>
      <c r="I152" s="342"/>
      <c r="J152" s="342"/>
      <c r="K152" s="342"/>
      <c r="L152" s="343" t="s">
        <v>11</v>
      </c>
      <c r="M152" s="343"/>
      <c r="N152" s="453">
        <f>SW_win.ser.201X_EUR</f>
        <v>7.3880039999999996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5"/>
      <c r="H153" s="345"/>
      <c r="I153" s="345"/>
      <c r="J153" s="345"/>
      <c r="K153" s="345"/>
      <c r="L153" s="349" t="s">
        <v>11</v>
      </c>
      <c r="M153" s="349"/>
      <c r="N153" s="454">
        <f>SW_win.ser.201X_EUR</f>
        <v>7.3880039999999996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2"/>
      <c r="H154" s="342"/>
      <c r="I154" s="342"/>
      <c r="J154" s="342"/>
      <c r="K154" s="342"/>
      <c r="L154" s="343" t="s">
        <v>11</v>
      </c>
      <c r="M154" s="343"/>
      <c r="N154" s="453">
        <f>SW_ms.sql.ser_EUR</f>
        <v>141.887564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5"/>
      <c r="H155" s="345"/>
      <c r="I155" s="345"/>
      <c r="J155" s="345"/>
      <c r="K155" s="345"/>
      <c r="L155" s="349" t="s">
        <v>120</v>
      </c>
      <c r="M155" s="349"/>
      <c r="N155" s="454">
        <f>SW_stackn_EUR</f>
        <v>928.2364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2"/>
      <c r="H156" s="342"/>
      <c r="I156" s="342"/>
      <c r="J156" s="342"/>
      <c r="K156" s="342"/>
      <c r="L156" s="352" t="s">
        <v>97</v>
      </c>
      <c r="M156" s="352"/>
      <c r="N156" s="513" t="str">
        <f>SW_nextcloud_EUR</f>
        <v>Request a quote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5"/>
      <c r="H157" s="345"/>
      <c r="I157" s="345"/>
      <c r="J157" s="345"/>
      <c r="K157" s="345"/>
      <c r="L157" s="346" t="s">
        <v>97</v>
      </c>
      <c r="M157" s="346"/>
      <c r="N157" s="514" t="str">
        <f>SW_suse_EUR</f>
        <v>Request a quote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2"/>
      <c r="H158" s="342"/>
      <c r="I158" s="342"/>
      <c r="J158" s="342"/>
      <c r="K158" s="342"/>
      <c r="L158" s="476" t="s">
        <v>120</v>
      </c>
      <c r="M158" s="476"/>
      <c r="N158" s="513" t="str">
        <f>SW_cluster.control_EUR</f>
        <v>3x instance price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5"/>
      <c r="H159" s="345"/>
      <c r="I159" s="345"/>
      <c r="J159" s="345"/>
      <c r="K159" s="345"/>
      <c r="L159" s="349" t="s">
        <v>144</v>
      </c>
      <c r="M159" s="349"/>
      <c r="N159" s="454">
        <f>SW_backup.ninja_EUR</f>
        <v>37.8872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7"/>
      <c r="F160" s="360"/>
      <c r="G160" s="361"/>
      <c r="H160" s="361"/>
      <c r="I160" s="361"/>
      <c r="J160" s="361"/>
      <c r="K160" s="361"/>
      <c r="L160" s="362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364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145</v>
      </c>
      <c r="C162" s="15"/>
      <c r="D162" s="15"/>
      <c r="E162" s="15"/>
      <c r="F162" s="212"/>
      <c r="G162" s="212"/>
      <c r="H162" s="212"/>
      <c r="I162" s="212"/>
      <c r="J162" s="212"/>
      <c r="K162" s="212"/>
      <c r="L162" s="355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10</v>
      </c>
      <c r="C163" s="25"/>
      <c r="D163" s="26"/>
      <c r="E163" s="26" t="s">
        <v>66</v>
      </c>
      <c r="F163" s="284"/>
      <c r="G163" s="612"/>
      <c r="H163" s="612"/>
      <c r="I163" s="612"/>
      <c r="J163" s="612"/>
      <c r="K163" s="612"/>
      <c r="L163" s="338" t="s">
        <v>107</v>
      </c>
      <c r="M163" s="338"/>
      <c r="N163" s="612" t="s">
        <v>15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147</v>
      </c>
      <c r="F164" s="341"/>
      <c r="G164" s="342"/>
      <c r="H164" s="342"/>
      <c r="I164" s="342"/>
      <c r="J164" s="342"/>
      <c r="K164" s="342"/>
      <c r="L164" s="343" t="s">
        <v>148</v>
      </c>
      <c r="M164" s="343"/>
      <c r="N164" s="457">
        <f>PAAS_man.kubernetes_EUR</f>
        <v>4900</v>
      </c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5"/>
      <c r="H165" s="345"/>
      <c r="I165" s="345"/>
      <c r="J165" s="345"/>
      <c r="K165" s="345"/>
      <c r="L165" s="349" t="s">
        <v>151</v>
      </c>
      <c r="M165" s="349"/>
      <c r="N165" s="458">
        <f>PAAS_man.postgres.sql_EUR</f>
        <v>1950</v>
      </c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153</v>
      </c>
      <c r="F166" s="341"/>
      <c r="G166" s="342"/>
      <c r="H166" s="342"/>
      <c r="I166" s="342"/>
      <c r="J166" s="342"/>
      <c r="K166" s="342"/>
      <c r="L166" s="343" t="s">
        <v>120</v>
      </c>
      <c r="M166" s="343"/>
      <c r="N166" s="457">
        <f>PAAS_man.elasticsearch_EUR</f>
        <v>1950</v>
      </c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5"/>
      <c r="H167" s="345"/>
      <c r="I167" s="345"/>
      <c r="J167" s="345"/>
      <c r="K167" s="345"/>
      <c r="L167" s="349" t="s">
        <v>156</v>
      </c>
      <c r="M167" s="349"/>
      <c r="N167" s="458">
        <f>PAAS_man.redis_EUR</f>
        <v>1900</v>
      </c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2"/>
      <c r="H168" s="342"/>
      <c r="I168" s="342"/>
      <c r="J168" s="342"/>
      <c r="K168" s="342"/>
      <c r="L168" s="343" t="s">
        <v>159</v>
      </c>
      <c r="M168" s="343"/>
      <c r="N168" s="457">
        <f>PAAS_man.nats_EUR</f>
        <v>1950</v>
      </c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5"/>
      <c r="H169" s="345"/>
      <c r="I169" s="345"/>
      <c r="J169" s="345"/>
      <c r="K169" s="345"/>
      <c r="L169" s="349" t="s">
        <v>151</v>
      </c>
      <c r="M169" s="349"/>
      <c r="N169" s="458">
        <f>PAAS_man.mariadb_EUR</f>
        <v>1950</v>
      </c>
      <c r="O169" s="168"/>
      <c r="P169" s="219"/>
      <c r="Q169" s="168"/>
      <c r="R169" s="350"/>
      <c r="S169" s="304"/>
      <c r="T169" s="201"/>
    </row>
    <row r="170" spans="2:20" ht="25.5" customHeight="1">
      <c r="B170" s="109"/>
      <c r="C170" s="106"/>
      <c r="D170" s="435"/>
      <c r="E170" s="108"/>
      <c r="F170" s="360"/>
      <c r="G170" s="361"/>
      <c r="H170" s="361"/>
      <c r="I170" s="361"/>
      <c r="J170" s="361"/>
      <c r="K170" s="361"/>
      <c r="L170" s="362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162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28" t="s">
        <v>7</v>
      </c>
      <c r="C176" s="628"/>
      <c r="D176" s="628"/>
      <c r="E176" s="628"/>
      <c r="F176" s="628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9"/>
      <c r="C177" s="629"/>
      <c r="D177" s="629"/>
      <c r="E177" s="629"/>
      <c r="F177" s="629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366"/>
      <c r="R179" s="304"/>
      <c r="S179" s="304"/>
      <c r="T179" s="201"/>
      <c r="U179" s="219"/>
      <c r="V179" s="192"/>
      <c r="W179" s="192"/>
    </row>
    <row r="180" spans="2:23" ht="25.5" customHeight="1">
      <c r="B180" s="25" t="s">
        <v>10</v>
      </c>
      <c r="C180" s="25"/>
      <c r="D180" s="25"/>
      <c r="E180" s="26" t="s">
        <v>66</v>
      </c>
      <c r="F180" s="284"/>
      <c r="G180" s="612"/>
      <c r="H180" s="612"/>
      <c r="I180" s="612"/>
      <c r="J180" s="612"/>
      <c r="K180" s="612"/>
      <c r="L180" s="338" t="s">
        <v>107</v>
      </c>
      <c r="M180" s="338"/>
      <c r="N180" s="612" t="s">
        <v>15</v>
      </c>
      <c r="O180" s="301"/>
      <c r="P180" s="366"/>
      <c r="R180" s="304"/>
      <c r="S180" s="304"/>
      <c r="T180" s="201"/>
      <c r="U180" s="219"/>
      <c r="V180" s="192"/>
      <c r="W180" s="192"/>
    </row>
    <row r="181" spans="2:23" ht="25.5" customHeight="1">
      <c r="B181" s="141" t="s">
        <v>164</v>
      </c>
      <c r="C181" s="136"/>
      <c r="D181" s="136"/>
      <c r="E181" s="32" t="s">
        <v>165</v>
      </c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367">
        <v>0</v>
      </c>
      <c r="O181" s="301"/>
      <c r="P181" s="366"/>
      <c r="R181" s="304"/>
      <c r="S181" s="304"/>
      <c r="T181" s="201"/>
      <c r="U181" s="219"/>
      <c r="V181" s="192"/>
      <c r="W181" s="192"/>
    </row>
    <row r="182" spans="2:23" ht="25.5" customHeight="1">
      <c r="B182" s="144" t="s">
        <v>166</v>
      </c>
      <c r="C182" s="137"/>
      <c r="D182" s="137"/>
      <c r="E182" s="40" t="s">
        <v>167</v>
      </c>
      <c r="F182" s="344"/>
      <c r="G182" s="345"/>
      <c r="H182" s="345"/>
      <c r="I182" s="345"/>
      <c r="J182" s="345"/>
      <c r="K182" s="345"/>
      <c r="L182" s="349" t="s">
        <v>168</v>
      </c>
      <c r="M182" s="346"/>
      <c r="N182" s="495" t="s">
        <v>169</v>
      </c>
      <c r="O182" s="301"/>
      <c r="P182" s="366"/>
      <c r="R182" s="304"/>
      <c r="S182" s="304"/>
      <c r="T182" s="201"/>
      <c r="U182" s="219"/>
      <c r="V182" s="192"/>
      <c r="W182" s="192"/>
    </row>
    <row r="183" spans="2:23" ht="25.5" customHeight="1">
      <c r="B183" s="141" t="s">
        <v>170</v>
      </c>
      <c r="C183" s="136"/>
      <c r="D183" s="136"/>
      <c r="E183" s="32" t="s">
        <v>171</v>
      </c>
      <c r="F183" s="341"/>
      <c r="G183" s="342"/>
      <c r="H183" s="342"/>
      <c r="I183" s="342"/>
      <c r="J183" s="342"/>
      <c r="K183" s="342"/>
      <c r="L183" s="343" t="s">
        <v>172</v>
      </c>
      <c r="M183" s="343"/>
      <c r="N183" s="367" t="s">
        <v>173</v>
      </c>
      <c r="O183" s="301"/>
      <c r="P183" s="366"/>
      <c r="R183" s="304"/>
      <c r="S183" s="304"/>
      <c r="T183" s="201"/>
      <c r="U183" s="219"/>
      <c r="V183" s="192"/>
      <c r="W183" s="192"/>
    </row>
    <row r="184" spans="2:23" ht="25.5" customHeight="1">
      <c r="B184" s="109"/>
      <c r="C184" s="106"/>
      <c r="D184" s="106"/>
      <c r="E184" s="435" t="s">
        <v>174</v>
      </c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327"/>
      <c r="Q184" s="304"/>
      <c r="R184" s="304"/>
      <c r="S184" s="304"/>
      <c r="T184" s="201"/>
      <c r="U184" s="219"/>
      <c r="V184" s="192"/>
      <c r="W184" s="192"/>
    </row>
    <row r="185" spans="2:23" ht="25.5" customHeight="1">
      <c r="B185" s="144"/>
      <c r="C185" s="137"/>
      <c r="D185" s="137"/>
      <c r="E185" s="40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327"/>
      <c r="Q185" s="304"/>
      <c r="R185" s="304"/>
      <c r="S185" s="304"/>
      <c r="T185" s="201"/>
      <c r="U185" s="219"/>
      <c r="V185" s="192"/>
      <c r="W185" s="192"/>
    </row>
    <row r="186" spans="2:23" ht="25.5" customHeight="1">
      <c r="B186" s="460" t="s">
        <v>175</v>
      </c>
      <c r="C186" s="15"/>
      <c r="D186" s="15"/>
      <c r="E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366"/>
      <c r="R186" s="304"/>
      <c r="S186" s="304"/>
      <c r="T186" s="201"/>
      <c r="U186" s="219"/>
      <c r="V186" s="192"/>
      <c r="W186" s="192"/>
    </row>
    <row r="187" spans="2:23" ht="25.5" customHeight="1">
      <c r="B187" s="532" t="s">
        <v>10</v>
      </c>
      <c r="C187" s="25"/>
      <c r="D187" s="25"/>
      <c r="E187" s="26" t="s">
        <v>66</v>
      </c>
      <c r="F187" s="284"/>
      <c r="G187" s="612"/>
      <c r="H187" s="612"/>
      <c r="I187" s="612"/>
      <c r="J187" s="612"/>
      <c r="K187" s="612"/>
      <c r="L187" s="338" t="s">
        <v>107</v>
      </c>
      <c r="M187" s="338"/>
      <c r="N187" s="612" t="s">
        <v>15</v>
      </c>
      <c r="O187" s="301"/>
      <c r="P187" s="366"/>
      <c r="R187" s="304"/>
      <c r="S187" s="304"/>
      <c r="T187" s="201"/>
      <c r="U187" s="219"/>
      <c r="V187" s="192"/>
      <c r="W187" s="192"/>
    </row>
    <row r="188" spans="2:23" ht="25.5" customHeight="1">
      <c r="B188" s="141" t="s">
        <v>176</v>
      </c>
      <c r="C188" s="136"/>
      <c r="D188" s="136"/>
      <c r="E188" s="32" t="s">
        <v>177</v>
      </c>
      <c r="F188" s="341"/>
      <c r="G188" s="342"/>
      <c r="H188" s="342"/>
      <c r="I188" s="342"/>
      <c r="J188" s="342"/>
      <c r="K188" s="342"/>
      <c r="L188" s="343" t="s">
        <v>172</v>
      </c>
      <c r="M188" s="343"/>
      <c r="N188" s="462">
        <f>PS_consult.jun_EUR</f>
        <v>106.747186</v>
      </c>
      <c r="O188" s="301"/>
      <c r="P188" s="366"/>
      <c r="R188" s="304"/>
      <c r="S188" s="304"/>
      <c r="T188" s="201"/>
      <c r="U188" s="219"/>
      <c r="V188" s="192"/>
      <c r="W188" s="192"/>
    </row>
    <row r="189" spans="2:23" ht="25.5" customHeight="1">
      <c r="B189" s="144" t="s">
        <v>178</v>
      </c>
      <c r="C189" s="137"/>
      <c r="D189" s="137"/>
      <c r="E189" s="40" t="s">
        <v>179</v>
      </c>
      <c r="F189" s="344"/>
      <c r="G189" s="345"/>
      <c r="H189" s="345"/>
      <c r="I189" s="345"/>
      <c r="J189" s="345"/>
      <c r="K189" s="345"/>
      <c r="L189" s="349" t="s">
        <v>172</v>
      </c>
      <c r="M189" s="349"/>
      <c r="N189" s="463">
        <f>PS_consult.sen_EUR</f>
        <v>130.14253199999999</v>
      </c>
      <c r="O189" s="301"/>
      <c r="P189" s="366"/>
      <c r="R189" s="304"/>
      <c r="S189" s="304"/>
      <c r="T189" s="201"/>
      <c r="U189" s="219"/>
      <c r="V189" s="192"/>
      <c r="W189" s="192"/>
    </row>
    <row r="190" spans="2:23" ht="25.5" customHeight="1">
      <c r="B190" s="141" t="s">
        <v>180</v>
      </c>
      <c r="C190" s="136"/>
      <c r="D190" s="136"/>
      <c r="E190" s="32" t="s">
        <v>181</v>
      </c>
      <c r="F190" s="341"/>
      <c r="G190" s="342"/>
      <c r="H190" s="342"/>
      <c r="I190" s="342"/>
      <c r="J190" s="342"/>
      <c r="K190" s="342"/>
      <c r="L190" s="343" t="s">
        <v>172</v>
      </c>
      <c r="M190" s="343"/>
      <c r="N190" s="462">
        <f>PS_cloudarch.jun_EUR</f>
        <v>120.954886</v>
      </c>
      <c r="O190" s="301"/>
      <c r="P190" s="366"/>
      <c r="R190" s="304"/>
      <c r="S190" s="304"/>
      <c r="T190" s="201"/>
      <c r="U190" s="219"/>
      <c r="V190" s="192"/>
      <c r="W190" s="192"/>
    </row>
    <row r="191" spans="2:23" ht="25.5" customHeight="1">
      <c r="B191" s="144" t="s">
        <v>182</v>
      </c>
      <c r="C191" s="137"/>
      <c r="D191" s="137"/>
      <c r="E191" s="40" t="s">
        <v>183</v>
      </c>
      <c r="F191" s="359"/>
      <c r="G191" s="345"/>
      <c r="H191" s="345"/>
      <c r="I191" s="345"/>
      <c r="J191" s="345"/>
      <c r="K191" s="345"/>
      <c r="L191" s="349" t="s">
        <v>172</v>
      </c>
      <c r="M191" s="349"/>
      <c r="N191" s="463">
        <f>PS_cloudarch.sen_EUR</f>
        <v>130.14253199999999</v>
      </c>
      <c r="O191" s="301"/>
      <c r="P191" s="366"/>
      <c r="R191" s="304"/>
      <c r="S191" s="304"/>
      <c r="T191" s="201"/>
      <c r="U191" s="219"/>
      <c r="V191" s="192"/>
      <c r="W191" s="192"/>
    </row>
    <row r="192" spans="2:23" ht="25.5" customHeight="1">
      <c r="B192" s="141" t="s">
        <v>184</v>
      </c>
      <c r="C192" s="136"/>
      <c r="D192" s="136"/>
      <c r="E192" s="32" t="s">
        <v>185</v>
      </c>
      <c r="F192" s="341"/>
      <c r="G192" s="342"/>
      <c r="H192" s="342"/>
      <c r="I192" s="342"/>
      <c r="J192" s="342"/>
      <c r="K192" s="342"/>
      <c r="L192" s="343" t="s">
        <v>172</v>
      </c>
      <c r="M192" s="343"/>
      <c r="N192" s="462">
        <f>PS_pm.jun_EUR</f>
        <v>107.883802</v>
      </c>
      <c r="O192" s="301"/>
      <c r="P192" s="366"/>
      <c r="R192" s="304"/>
      <c r="S192" s="304"/>
      <c r="T192" s="201"/>
      <c r="U192" s="219"/>
      <c r="V192" s="192"/>
      <c r="W192" s="192"/>
    </row>
    <row r="193" spans="1:23" ht="25.5" customHeight="1">
      <c r="B193" s="144" t="s">
        <v>186</v>
      </c>
      <c r="C193" s="137"/>
      <c r="D193" s="137"/>
      <c r="E193" s="40" t="s">
        <v>187</v>
      </c>
      <c r="F193" s="344"/>
      <c r="G193" s="345"/>
      <c r="H193" s="345"/>
      <c r="I193" s="345"/>
      <c r="J193" s="345"/>
      <c r="K193" s="345"/>
      <c r="L193" s="349" t="s">
        <v>172</v>
      </c>
      <c r="M193" s="349"/>
      <c r="N193" s="463">
        <f>PS_pm.sen_EUR</f>
        <v>130.14253199999999</v>
      </c>
      <c r="O193" s="301"/>
      <c r="P193" s="366"/>
      <c r="R193" s="304"/>
      <c r="S193" s="304"/>
      <c r="T193" s="201"/>
      <c r="U193" s="219"/>
      <c r="V193" s="192"/>
      <c r="W193" s="192"/>
    </row>
    <row r="194" spans="1:23" ht="25.5" customHeight="1">
      <c r="B194" s="109"/>
      <c r="C194" s="106"/>
      <c r="D194" s="106"/>
      <c r="E194" s="435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327"/>
      <c r="Q194" s="304"/>
      <c r="R194" s="304"/>
      <c r="S194" s="304"/>
      <c r="T194" s="201"/>
      <c r="U194" s="219"/>
      <c r="V194" s="192"/>
      <c r="W194" s="192"/>
    </row>
    <row r="195" spans="1:23" ht="25.5" customHeight="1">
      <c r="B195" s="144"/>
      <c r="C195" s="137"/>
      <c r="D195" s="137"/>
      <c r="E195" s="40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03"/>
      <c r="Q195" s="168"/>
      <c r="R195" s="350"/>
      <c r="S195" s="304"/>
      <c r="T195" s="201"/>
      <c r="U195" s="219"/>
    </row>
    <row r="196" spans="1:23" ht="25.5" customHeight="1">
      <c r="B196" s="460" t="s">
        <v>188</v>
      </c>
      <c r="C196" s="15"/>
      <c r="D196" s="15"/>
      <c r="E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366"/>
      <c r="R196" s="304"/>
      <c r="S196" s="304"/>
      <c r="T196" s="201"/>
      <c r="U196" s="219"/>
      <c r="V196" s="192"/>
      <c r="W196" s="192"/>
    </row>
    <row r="197" spans="1:23" ht="25.5" customHeight="1">
      <c r="B197" s="532" t="s">
        <v>10</v>
      </c>
      <c r="C197" s="338" t="s">
        <v>189</v>
      </c>
      <c r="D197" s="338"/>
      <c r="E197" s="26" t="s">
        <v>66</v>
      </c>
      <c r="F197" s="284"/>
      <c r="G197" s="338"/>
      <c r="H197" s="338"/>
      <c r="I197" s="338"/>
      <c r="J197" s="338"/>
      <c r="K197" s="338"/>
      <c r="L197" s="338" t="s">
        <v>107</v>
      </c>
      <c r="M197" s="338"/>
      <c r="N197" s="612" t="s">
        <v>190</v>
      </c>
      <c r="O197" s="301"/>
      <c r="P197" s="366"/>
      <c r="R197" s="304"/>
      <c r="S197" s="304"/>
      <c r="T197" s="201"/>
      <c r="U197" s="219"/>
      <c r="V197" s="192"/>
      <c r="W197" s="192"/>
    </row>
    <row r="198" spans="1:23" ht="25.5" customHeight="1">
      <c r="B198" s="141" t="s">
        <v>191</v>
      </c>
      <c r="C198" s="343" t="s">
        <v>192</v>
      </c>
      <c r="D198" s="343"/>
      <c r="E198" s="32" t="s">
        <v>193</v>
      </c>
      <c r="F198" s="341"/>
      <c r="G198" s="343"/>
      <c r="H198" s="343"/>
      <c r="I198" s="343"/>
      <c r="J198" s="343"/>
      <c r="K198" s="343"/>
      <c r="L198" s="343" t="s">
        <v>194</v>
      </c>
      <c r="M198" s="343"/>
      <c r="N198" s="367" t="s">
        <v>173</v>
      </c>
      <c r="O198" s="301"/>
      <c r="P198" s="366"/>
      <c r="R198" s="304"/>
      <c r="S198" s="304"/>
      <c r="T198" s="201"/>
      <c r="U198" s="219"/>
      <c r="V198" s="192"/>
      <c r="W198" s="192"/>
    </row>
    <row r="199" spans="1:23" ht="25.5" customHeight="1">
      <c r="B199" s="144" t="s">
        <v>195</v>
      </c>
      <c r="C199" s="349" t="s">
        <v>192</v>
      </c>
      <c r="D199" s="349"/>
      <c r="E199" s="40" t="s">
        <v>196</v>
      </c>
      <c r="F199" s="344"/>
      <c r="G199" s="349"/>
      <c r="H199" s="349"/>
      <c r="I199" s="349"/>
      <c r="J199" s="349"/>
      <c r="K199" s="349"/>
      <c r="L199" s="349" t="s">
        <v>194</v>
      </c>
      <c r="M199" s="349"/>
      <c r="N199" s="368" t="s">
        <v>173</v>
      </c>
      <c r="O199" s="301"/>
      <c r="P199" s="366"/>
      <c r="R199" s="304"/>
      <c r="S199" s="304"/>
      <c r="T199" s="201"/>
      <c r="U199" s="219"/>
      <c r="V199" s="192"/>
      <c r="W199" s="192"/>
    </row>
    <row r="200" spans="1:23" ht="25.5" customHeight="1">
      <c r="B200" s="141" t="s">
        <v>197</v>
      </c>
      <c r="C200" s="343" t="s">
        <v>198</v>
      </c>
      <c r="D200" s="343"/>
      <c r="E200" s="32" t="s">
        <v>199</v>
      </c>
      <c r="F200" s="341"/>
      <c r="G200" s="343"/>
      <c r="H200" s="343"/>
      <c r="I200" s="343"/>
      <c r="J200" s="343"/>
      <c r="K200" s="343"/>
      <c r="L200" s="343" t="s">
        <v>194</v>
      </c>
      <c r="M200" s="343"/>
      <c r="N200" s="367" t="s">
        <v>173</v>
      </c>
      <c r="O200" s="301"/>
      <c r="P200" s="366"/>
      <c r="R200" s="304"/>
      <c r="S200" s="304"/>
      <c r="T200" s="201"/>
      <c r="U200" s="219"/>
      <c r="V200" s="192"/>
      <c r="W200" s="192"/>
    </row>
    <row r="201" spans="1:23" ht="25.5" customHeight="1">
      <c r="B201" s="144" t="s">
        <v>200</v>
      </c>
      <c r="C201" s="349" t="s">
        <v>198</v>
      </c>
      <c r="D201" s="349"/>
      <c r="E201" s="40" t="s">
        <v>201</v>
      </c>
      <c r="F201" s="344"/>
      <c r="G201" s="349"/>
      <c r="H201" s="349"/>
      <c r="I201" s="349"/>
      <c r="J201" s="349"/>
      <c r="K201" s="349"/>
      <c r="L201" s="349" t="s">
        <v>194</v>
      </c>
      <c r="M201" s="349"/>
      <c r="N201" s="368" t="s">
        <v>173</v>
      </c>
      <c r="O201" s="301"/>
      <c r="P201" s="366"/>
      <c r="R201" s="304"/>
      <c r="S201" s="304"/>
      <c r="T201" s="201"/>
      <c r="U201" s="219"/>
      <c r="V201" s="192"/>
      <c r="W201" s="192"/>
    </row>
    <row r="202" spans="1:23" ht="25.5" customHeight="1">
      <c r="B202" s="109"/>
      <c r="C202" s="106"/>
      <c r="D202" s="106"/>
      <c r="E202" s="108"/>
      <c r="F202" s="360"/>
      <c r="G202" s="361"/>
      <c r="H202" s="361"/>
      <c r="I202" s="363"/>
      <c r="J202" s="363"/>
      <c r="K202" s="363"/>
      <c r="L202" s="363"/>
      <c r="M202" s="363"/>
      <c r="N202" s="363"/>
      <c r="O202" s="201"/>
      <c r="P202" s="219"/>
      <c r="Q202" s="192"/>
      <c r="R202" s="192"/>
    </row>
    <row r="203" spans="1:23" ht="25.5" customHeight="1">
      <c r="B203" s="461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30" t="s">
        <v>202</v>
      </c>
      <c r="C208" s="630"/>
      <c r="D208" s="630"/>
      <c r="E208" s="630"/>
      <c r="F208" s="630"/>
      <c r="G208" s="630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30"/>
      <c r="C209" s="630"/>
      <c r="D209" s="630"/>
      <c r="E209" s="630"/>
      <c r="F209" s="630"/>
      <c r="G209" s="630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30"/>
      <c r="C210" s="630"/>
      <c r="D210" s="630"/>
      <c r="E210" s="630"/>
      <c r="F210" s="630"/>
      <c r="G210" s="630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31" t="s">
        <v>7</v>
      </c>
      <c r="C211" s="631"/>
      <c r="D211" s="631"/>
      <c r="E211" s="631"/>
      <c r="F211" s="631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468" t="s">
        <v>203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205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206</v>
      </c>
      <c r="N217" s="392"/>
      <c r="O217" s="393"/>
      <c r="P217" s="205"/>
      <c r="Q217" s="337"/>
    </row>
    <row r="218" spans="1:23" ht="25.5" customHeight="1">
      <c r="A218" s="389"/>
      <c r="B218" s="632" t="s">
        <v>207</v>
      </c>
      <c r="C218" s="632"/>
      <c r="D218" s="72"/>
      <c r="E218" s="73"/>
      <c r="F218" s="394"/>
      <c r="G218" s="395"/>
      <c r="H218" s="395"/>
      <c r="I218" s="395"/>
      <c r="J218" s="395"/>
      <c r="K218" s="396"/>
      <c r="L218" s="396"/>
      <c r="M218" s="465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24" t="s">
        <v>208</v>
      </c>
      <c r="C219" s="624"/>
      <c r="D219" s="74"/>
      <c r="E219" s="75"/>
      <c r="F219" s="398"/>
      <c r="G219" s="399"/>
      <c r="H219" s="399"/>
      <c r="I219" s="399"/>
      <c r="J219" s="399"/>
      <c r="K219" s="400"/>
      <c r="L219" s="400"/>
      <c r="M219" s="466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66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25" t="s">
        <v>210</v>
      </c>
      <c r="C221" s="625"/>
      <c r="D221" s="35"/>
      <c r="E221" s="36"/>
      <c r="F221" s="334"/>
      <c r="G221" s="621"/>
      <c r="H221" s="621"/>
      <c r="I221" s="621"/>
      <c r="J221" s="621"/>
      <c r="K221" s="319"/>
      <c r="L221" s="319"/>
      <c r="M221" s="455">
        <f>N72+N80+N63+N38</f>
        <v>0</v>
      </c>
      <c r="N221" s="293"/>
      <c r="O221" s="402"/>
      <c r="P221" s="403"/>
    </row>
    <row r="222" spans="1:23" ht="25.5" customHeight="1">
      <c r="A222" s="389"/>
      <c r="B222" s="467" t="s">
        <v>32</v>
      </c>
      <c r="C222" s="61"/>
      <c r="D222" s="61"/>
      <c r="E222" s="61"/>
      <c r="F222" s="405"/>
      <c r="G222" s="406"/>
      <c r="H222" s="406"/>
      <c r="I222" s="406"/>
      <c r="J222" s="626">
        <f>SUM(M218:M221)</f>
        <v>0</v>
      </c>
      <c r="K222" s="626"/>
      <c r="L222" s="626"/>
      <c r="M222" s="626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x2L+JyYmnLl4C9Wo+8Id9FnYc5Wsy204xZB4qNJqJE99Rza9+pQKnKWmgGLb8JjMiTbPntYIIaZkreFmaBDvjQ==" saltValue="kJW4L7KYLNDXpViypivEGg==" spinCount="100000" sheet="1" selectLockedCells="1"/>
  <mergeCells count="65">
    <mergeCell ref="F85:G85"/>
    <mergeCell ref="H85:I85"/>
    <mergeCell ref="B4:C4"/>
    <mergeCell ref="B15:G17"/>
    <mergeCell ref="B19:F19"/>
    <mergeCell ref="F84:G84"/>
    <mergeCell ref="H84:I84"/>
    <mergeCell ref="D98:E98"/>
    <mergeCell ref="F98:G98"/>
    <mergeCell ref="H98:I98"/>
    <mergeCell ref="J98:K98"/>
    <mergeCell ref="D99:E99"/>
    <mergeCell ref="F99:G99"/>
    <mergeCell ref="H99:I99"/>
    <mergeCell ref="J99:K99"/>
    <mergeCell ref="F86:G86"/>
    <mergeCell ref="H86:I86"/>
    <mergeCell ref="B91:G93"/>
    <mergeCell ref="B94:F94"/>
    <mergeCell ref="B95:F95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B137:F137"/>
    <mergeCell ref="B120:C120"/>
    <mergeCell ref="F120:G120"/>
    <mergeCell ref="J120:K120"/>
    <mergeCell ref="B121:C121"/>
    <mergeCell ref="F121:G121"/>
    <mergeCell ref="J121:K121"/>
    <mergeCell ref="B122:C122"/>
    <mergeCell ref="F122:G122"/>
    <mergeCell ref="J122:K122"/>
    <mergeCell ref="B133:G135"/>
    <mergeCell ref="B136:F136"/>
    <mergeCell ref="B219:C219"/>
    <mergeCell ref="B221:C221"/>
    <mergeCell ref="J222:M222"/>
    <mergeCell ref="B173:G175"/>
    <mergeCell ref="B176:F176"/>
    <mergeCell ref="B177:F177"/>
    <mergeCell ref="B208:G210"/>
    <mergeCell ref="B211:F211"/>
    <mergeCell ref="B218:C218"/>
  </mergeCells>
  <conditionalFormatting sqref="M25:N33 M64:N66 M41:N41 M36:N37">
    <cfRule type="cellIs" dxfId="171" priority="61" operator="greaterThan">
      <formula>0</formula>
    </cfRule>
  </conditionalFormatting>
  <conditionalFormatting sqref="H120 H107 J85:J86 I25:K33 I68:K71 I36:K37">
    <cfRule type="cellIs" dxfId="170" priority="60" operator="greaterThan">
      <formula>0</formula>
    </cfRule>
  </conditionalFormatting>
  <conditionalFormatting sqref="J86">
    <cfRule type="cellIs" dxfId="169" priority="59" operator="greaterThan">
      <formula>0</formula>
    </cfRule>
  </conditionalFormatting>
  <conditionalFormatting sqref="J85">
    <cfRule type="cellIs" dxfId="168" priority="58" operator="greaterThan">
      <formula>0</formula>
    </cfRule>
  </conditionalFormatting>
  <conditionalFormatting sqref="H107">
    <cfRule type="cellIs" dxfId="167" priority="57" operator="greaterThan">
      <formula>0</formula>
    </cfRule>
  </conditionalFormatting>
  <conditionalFormatting sqref="I25:I33 I36:I37">
    <cfRule type="cellIs" dxfId="166" priority="56" operator="lessThan">
      <formula>$J25</formula>
    </cfRule>
  </conditionalFormatting>
  <conditionalFormatting sqref="H122 J122">
    <cfRule type="cellIs" dxfId="165" priority="55" operator="greaterThan">
      <formula>0</formula>
    </cfRule>
  </conditionalFormatting>
  <conditionalFormatting sqref="J122">
    <cfRule type="cellIs" dxfId="164" priority="54" operator="greaterThan">
      <formula>0</formula>
    </cfRule>
  </conditionalFormatting>
  <conditionalFormatting sqref="H121 J121">
    <cfRule type="cellIs" dxfId="163" priority="53" operator="greaterThan">
      <formula>0</formula>
    </cfRule>
  </conditionalFormatting>
  <conditionalFormatting sqref="J121">
    <cfRule type="cellIs" dxfId="162" priority="52" operator="greaterThan">
      <formula>0</formula>
    </cfRule>
  </conditionalFormatting>
  <conditionalFormatting sqref="M68:N68 M70:N70">
    <cfRule type="cellIs" dxfId="161" priority="32" operator="greaterThan">
      <formula>0</formula>
    </cfRule>
  </conditionalFormatting>
  <conditionalFormatting sqref="M69:N69 M71:N71">
    <cfRule type="cellIs" dxfId="160" priority="34" operator="greaterThan">
      <formula>0</formula>
    </cfRule>
  </conditionalFormatting>
  <conditionalFormatting sqref="M69:N69 M71:N71">
    <cfRule type="cellIs" dxfId="159" priority="33" operator="greaterThan">
      <formula>0</formula>
    </cfRule>
  </conditionalFormatting>
  <conditionalFormatting sqref="I77:J79">
    <cfRule type="cellIs" dxfId="158" priority="29" operator="greaterThan">
      <formula>0</formula>
    </cfRule>
  </conditionalFormatting>
  <conditionalFormatting sqref="M77:N78">
    <cfRule type="cellIs" dxfId="157" priority="30" operator="greaterThan">
      <formula>0</formula>
    </cfRule>
  </conditionalFormatting>
  <conditionalFormatting sqref="I77:J79">
    <cfRule type="cellIs" dxfId="156" priority="31" operator="lessThan">
      <formula>$J77</formula>
    </cfRule>
  </conditionalFormatting>
  <conditionalFormatting sqref="M79:N79">
    <cfRule type="cellIs" dxfId="155" priority="28" operator="greaterThan">
      <formula>0</formula>
    </cfRule>
  </conditionalFormatting>
  <conditionalFormatting sqref="K77:K79">
    <cfRule type="cellIs" dxfId="154" priority="27" operator="greaterThan">
      <formula>0</formula>
    </cfRule>
  </conditionalFormatting>
  <conditionalFormatting sqref="I68:I71">
    <cfRule type="cellIs" dxfId="153" priority="19" operator="lessThan">
      <formula>$J68</formula>
    </cfRule>
  </conditionalFormatting>
  <conditionalFormatting sqref="M68:N68 M70:N70">
    <cfRule type="cellIs" dxfId="152" priority="9" operator="greaterThan">
      <formula>0</formula>
    </cfRule>
  </conditionalFormatting>
  <conditionalFormatting sqref="I43:K61">
    <cfRule type="cellIs" dxfId="151" priority="17" operator="greaterThan">
      <formula>0</formula>
    </cfRule>
  </conditionalFormatting>
  <conditionalFormatting sqref="M44:N44 M46:N46 M48:N48 M50:N50 M52:N52 M54:N54 M56:N56 M58:N58 M60:N60">
    <cfRule type="cellIs" dxfId="150" priority="16" operator="greaterThan">
      <formula>0</formula>
    </cfRule>
  </conditionalFormatting>
  <conditionalFormatting sqref="M43:N43 M45:N45 M47:N47 M49:N49 M51:N51 M53:N53 M55:N55 M57:N57 M59:N59 M61:N61">
    <cfRule type="cellIs" dxfId="149" priority="15" operator="greaterThan">
      <formula>0</formula>
    </cfRule>
  </conditionalFormatting>
  <conditionalFormatting sqref="M44:N44 M46:N46 M48:N48 M50:N50 M52:N52 M54:N54 M56:N56 M58:N58 M60:N60">
    <cfRule type="cellIs" dxfId="148" priority="14" operator="greaterThan">
      <formula>0</formula>
    </cfRule>
  </conditionalFormatting>
  <conditionalFormatting sqref="M43:N43 M45:N45 M47:N47 M49:N49 M51:N51 M53:N53 M55:N55 M57:N57 M59:N59 M61:N61">
    <cfRule type="cellIs" dxfId="147" priority="13" operator="greaterThan">
      <formula>0</formula>
    </cfRule>
  </conditionalFormatting>
  <conditionalFormatting sqref="N43:N61">
    <cfRule type="cellIs" dxfId="146" priority="12" operator="greaterThan">
      <formula>0</formula>
    </cfRule>
  </conditionalFormatting>
  <conditionalFormatting sqref="I43:I61">
    <cfRule type="cellIs" dxfId="145" priority="18" operator="lessThan">
      <formula>$J43</formula>
    </cfRule>
  </conditionalFormatting>
  <conditionalFormatting sqref="M69:N69 M71:N71">
    <cfRule type="cellIs" dxfId="144" priority="11" operator="greaterThan">
      <formula>0</formula>
    </cfRule>
  </conditionalFormatting>
  <conditionalFormatting sqref="M68:N68 M70:N70">
    <cfRule type="cellIs" dxfId="143" priority="10" operator="greaterThan">
      <formula>0</formula>
    </cfRule>
  </conditionalFormatting>
  <conditionalFormatting sqref="M34:N35">
    <cfRule type="cellIs" dxfId="142" priority="8" operator="greaterThan">
      <formula>0</formula>
    </cfRule>
  </conditionalFormatting>
  <conditionalFormatting sqref="I34:K35">
    <cfRule type="cellIs" dxfId="141" priority="7" operator="greaterThan">
      <formula>0</formula>
    </cfRule>
  </conditionalFormatting>
  <conditionalFormatting sqref="I34:I35">
    <cfRule type="cellIs" dxfId="140" priority="6" operator="lessThan">
      <formula>$J34</formula>
    </cfRule>
  </conditionalFormatting>
  <conditionalFormatting sqref="I62:K62">
    <cfRule type="cellIs" dxfId="139" priority="4" operator="greaterThan">
      <formula>0</formula>
    </cfRule>
  </conditionalFormatting>
  <conditionalFormatting sqref="M62:N62">
    <cfRule type="cellIs" dxfId="138" priority="3" operator="greaterThan">
      <formula>0</formula>
    </cfRule>
  </conditionalFormatting>
  <conditionalFormatting sqref="M62:N62">
    <cfRule type="cellIs" dxfId="137" priority="2" operator="greaterThan">
      <formula>0</formula>
    </cfRule>
  </conditionalFormatting>
  <conditionalFormatting sqref="N62">
    <cfRule type="cellIs" dxfId="136" priority="1" operator="greaterThan">
      <formula>0</formula>
    </cfRule>
  </conditionalFormatting>
  <conditionalFormatting sqref="I62">
    <cfRule type="cellIs" dxfId="135" priority="5" operator="lessThan">
      <formula>$J62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5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9"/>
  <sheetViews>
    <sheetView showGridLines="0" tabSelected="1" zoomScale="93" zoomScaleNormal="93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6"/>
      <c r="C4" s="66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416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440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417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9" t="s">
        <v>216</v>
      </c>
      <c r="C19" s="629"/>
      <c r="D19" s="629"/>
      <c r="E19" s="629"/>
      <c r="F19" s="629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218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7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7" si="1">J25*C25*SW_win.ser.201X_SEK+K25*C25*SW_ms.sql.ser_SEK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221">
        <f t="shared" si="0"/>
        <v>0.46388888888888891</v>
      </c>
      <c r="H26" s="222">
        <f t="shared" ref="H26:H37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7" si="3">ROUNDUP(I26*H26,2)</f>
        <v>0</v>
      </c>
      <c r="N26" s="223">
        <f t="shared" si="1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2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2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2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221">
        <f t="shared" ref="G34:G35" si="4">H34/720</f>
        <v>3.5333333333333332</v>
      </c>
      <c r="H34" s="222">
        <f t="shared" ref="H34:H35" si="5">C34*IAAS_vcpu_SEK+D34*IAAS_ram_SEK+E34*IAAS_ssd_SEK</f>
        <v>2544</v>
      </c>
      <c r="I34" s="217"/>
      <c r="J34" s="217"/>
      <c r="K34" s="217"/>
      <c r="L34" s="220" t="s">
        <v>62</v>
      </c>
      <c r="M34" s="223">
        <f t="shared" ref="M34:M35" si="6">ROUNDUP(I34*H34,2)</f>
        <v>0</v>
      </c>
      <c r="N34" s="223">
        <f t="shared" ref="N34:N35" si="7">J34*C34*SW_win.ser.201X_SEK+K34*C34*SW_ms.sql.ser_SEK</f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4"/>
        <v>6.8666666666666663</v>
      </c>
      <c r="H35" s="216">
        <f t="shared" si="5"/>
        <v>4944</v>
      </c>
      <c r="I35" s="217"/>
      <c r="J35" s="217"/>
      <c r="K35" s="217"/>
      <c r="L35" s="214" t="s">
        <v>62</v>
      </c>
      <c r="M35" s="218">
        <f t="shared" si="6"/>
        <v>0</v>
      </c>
      <c r="N35" s="218">
        <f t="shared" si="7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221">
        <f t="shared" si="0"/>
        <v>13.533333333333333</v>
      </c>
      <c r="H36" s="222">
        <f t="shared" si="2"/>
        <v>9744</v>
      </c>
      <c r="I36" s="217"/>
      <c r="J36" s="217"/>
      <c r="K36" s="217"/>
      <c r="L36" s="220" t="s">
        <v>62</v>
      </c>
      <c r="M36" s="223">
        <f t="shared" si="3"/>
        <v>0</v>
      </c>
      <c r="N36" s="223">
        <f t="shared" si="1"/>
        <v>0</v>
      </c>
      <c r="P36" s="219"/>
      <c r="Q36" s="542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0"/>
        <v>26.866666666666667</v>
      </c>
      <c r="H37" s="216">
        <f t="shared" si="2"/>
        <v>19344</v>
      </c>
      <c r="I37" s="217"/>
      <c r="J37" s="217"/>
      <c r="K37" s="217"/>
      <c r="L37" s="214" t="s">
        <v>62</v>
      </c>
      <c r="M37" s="218">
        <f t="shared" si="3"/>
        <v>0</v>
      </c>
      <c r="N37" s="218">
        <f t="shared" si="1"/>
        <v>0</v>
      </c>
      <c r="P37" s="219"/>
      <c r="U37" s="200"/>
      <c r="V37" s="200"/>
      <c r="W37" s="200"/>
    </row>
    <row r="38" spans="2:23" ht="25.5" customHeight="1">
      <c r="B38" s="623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2">
        <f>SUM(M25:M37)</f>
        <v>0</v>
      </c>
      <c r="N38" s="90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221</v>
      </c>
      <c r="H42" s="207" t="s">
        <v>222</v>
      </c>
      <c r="I42" s="208" t="s">
        <v>223</v>
      </c>
      <c r="J42" s="208" t="s">
        <v>224</v>
      </c>
      <c r="K42" s="208" t="s">
        <v>225</v>
      </c>
      <c r="L42" s="209"/>
      <c r="M42" s="207" t="s">
        <v>226</v>
      </c>
      <c r="N42" s="207" t="s">
        <v>227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2" si="8">H43/720</f>
        <v>0.2986111111111111</v>
      </c>
      <c r="H43" s="248">
        <f t="shared" ref="H43:H62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2" si="10">ROUNDUP(I43*H43,2)</f>
        <v>0</v>
      </c>
      <c r="N43" s="218">
        <f t="shared" ref="N43:N62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247">
        <f t="shared" ref="G55:G56" si="12">H55/720</f>
        <v>4.7222222222222223</v>
      </c>
      <c r="H55" s="248">
        <f t="shared" ref="H55:H56" si="13">C55*IAAS_vcpu_SEK+D55*IAAS_ram_SEK+E55*IAAS_nvme_SEK</f>
        <v>3400</v>
      </c>
      <c r="I55" s="217"/>
      <c r="J55" s="217"/>
      <c r="K55" s="217"/>
      <c r="L55" s="249" t="s">
        <v>62</v>
      </c>
      <c r="M55" s="218">
        <f t="shared" ref="M55:M56" si="14">ROUNDUP(I55*H55,2)</f>
        <v>0</v>
      </c>
      <c r="N55" s="218">
        <f t="shared" ref="N55:N56" si="15">J55*C55*SW_win.ser.201X_SEK+K55*C55*SW_ms.sql.ser_SEK</f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12"/>
        <v>7.0138888888888893</v>
      </c>
      <c r="H56" s="244">
        <f t="shared" si="13"/>
        <v>5050</v>
      </c>
      <c r="I56" s="217"/>
      <c r="J56" s="217"/>
      <c r="K56" s="217"/>
      <c r="L56" s="251" t="s">
        <v>62</v>
      </c>
      <c r="M56" s="223">
        <f t="shared" si="14"/>
        <v>0</v>
      </c>
      <c r="N56" s="223">
        <f t="shared" si="15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247">
        <f t="shared" ref="G61" si="16">H61/720</f>
        <v>14.722222222222221</v>
      </c>
      <c r="H61" s="248">
        <f t="shared" ref="H61" si="17">C61*IAAS_vcpu_SEK+D61*IAAS_ram_SEK+E61*IAAS_nvme_SEK</f>
        <v>10600</v>
      </c>
      <c r="I61" s="217"/>
      <c r="J61" s="217"/>
      <c r="K61" s="217"/>
      <c r="L61" s="249" t="s">
        <v>62</v>
      </c>
      <c r="M61" s="218">
        <f t="shared" ref="M61" si="18">ROUNDUP(I61*H61,2)</f>
        <v>0</v>
      </c>
      <c r="N61" s="218">
        <f t="shared" ref="N61" si="19">J61*C61*SW_win.ser.201X_SEK+K61*C61*SW_ms.sql.ser_SEK</f>
        <v>0</v>
      </c>
      <c r="P61" s="219"/>
      <c r="U61" s="200"/>
      <c r="W61" s="200"/>
    </row>
    <row r="62" spans="2:23" s="192" customFormat="1" ht="2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si="8"/>
        <v>28.055555555555557</v>
      </c>
      <c r="H62" s="244">
        <f t="shared" si="9"/>
        <v>20200</v>
      </c>
      <c r="I62" s="217"/>
      <c r="J62" s="217"/>
      <c r="K62" s="217"/>
      <c r="L62" s="251" t="s">
        <v>62</v>
      </c>
      <c r="M62" s="223">
        <f t="shared" si="10"/>
        <v>0</v>
      </c>
      <c r="N62" s="223">
        <f t="shared" si="11"/>
        <v>0</v>
      </c>
      <c r="P62" s="219"/>
      <c r="U62" s="200"/>
      <c r="W62" s="200"/>
    </row>
    <row r="63" spans="2:23" s="192" customFormat="1" ht="25.5" customHeight="1">
      <c r="B63" s="623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2">
        <f>SUM(M43:M62)</f>
        <v>0</v>
      </c>
      <c r="N63" s="90">
        <f>SUM(N43:N62)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229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221</v>
      </c>
      <c r="H67" s="207" t="s">
        <v>222</v>
      </c>
      <c r="I67" s="208" t="s">
        <v>223</v>
      </c>
      <c r="J67" s="208" t="s">
        <v>224</v>
      </c>
      <c r="K67" s="208" t="s">
        <v>225</v>
      </c>
      <c r="L67" s="209"/>
      <c r="M67" s="207" t="s">
        <v>226</v>
      </c>
      <c r="N67" s="207" t="s">
        <v>227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80">
        <f t="shared" ref="G68:G69" si="20">H68/720</f>
        <v>9.6527777777777786</v>
      </c>
      <c r="H68" s="478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69" si="21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79">
        <f t="shared" si="20"/>
        <v>19.305555555555557</v>
      </c>
      <c r="H69" s="477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21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80">
        <f t="shared" ref="G70:G71" si="22">H70/720</f>
        <v>38.611111111111114</v>
      </c>
      <c r="H70" s="478">
        <f>C70*IAAS_vcpu_SEK+D70*IAAS_ram_SEK+E70*IAAS_nvme_SEK+F70*IAAS_gpu_SEK</f>
        <v>27800</v>
      </c>
      <c r="I70" s="217"/>
      <c r="J70" s="217"/>
      <c r="K70" s="217"/>
      <c r="L70" s="249" t="str">
        <f>L62</f>
        <v>Instanser</v>
      </c>
      <c r="M70" s="218">
        <f t="shared" ref="M70:M71" si="23">ROUNDUP(I70*H70,2)</f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9">
        <f t="shared" si="22"/>
        <v>60.555555555555557</v>
      </c>
      <c r="H71" s="477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23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623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2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418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47">
      <c r="B76" s="498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221</v>
      </c>
      <c r="H76" s="207" t="s">
        <v>222</v>
      </c>
      <c r="I76" s="274" t="s">
        <v>223</v>
      </c>
      <c r="J76" s="274" t="s">
        <v>224</v>
      </c>
      <c r="K76" s="274" t="s">
        <v>225</v>
      </c>
      <c r="L76" s="209"/>
      <c r="M76" s="207" t="s">
        <v>226</v>
      </c>
      <c r="N76" s="207" t="s">
        <v>227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24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8" si="25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24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6">L77</f>
        <v>Instanser</v>
      </c>
      <c r="M78" s="223">
        <f t="shared" si="25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24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ref="M79" si="27">ROUNDUP(I79*H79,2)</f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20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2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231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219</v>
      </c>
      <c r="C84" s="26" t="s">
        <v>232</v>
      </c>
      <c r="D84" s="26"/>
      <c r="E84" s="139" t="s">
        <v>221</v>
      </c>
      <c r="F84" s="651" t="s">
        <v>233</v>
      </c>
      <c r="G84" s="651"/>
      <c r="H84" s="649"/>
      <c r="I84" s="649"/>
      <c r="J84" s="285" t="s">
        <v>68</v>
      </c>
      <c r="K84" s="284"/>
      <c r="L84" s="284"/>
      <c r="M84" s="284"/>
      <c r="N84" s="612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68">
        <f>VOLUME_large_SEK</f>
        <v>1.2</v>
      </c>
      <c r="G85" s="668"/>
      <c r="H85" s="665"/>
      <c r="I85" s="665"/>
      <c r="J85" s="290"/>
      <c r="K85" s="535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83">
        <f>F86/720</f>
        <v>5.0000000000000001E-3</v>
      </c>
      <c r="F86" s="669">
        <f>VOLUME_fast_SEK</f>
        <v>3.6</v>
      </c>
      <c r="G86" s="669"/>
      <c r="H86" s="659"/>
      <c r="I86" s="659"/>
      <c r="J86" s="294"/>
      <c r="K86" s="536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1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8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60" t="s">
        <v>235</v>
      </c>
      <c r="C94" s="660"/>
      <c r="D94" s="660"/>
      <c r="E94" s="660"/>
      <c r="F94" s="660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1" t="s">
        <v>236</v>
      </c>
      <c r="C95" s="661"/>
      <c r="D95" s="661"/>
      <c r="E95" s="661"/>
      <c r="F95" s="661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217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219</v>
      </c>
      <c r="C98" s="12" t="s">
        <v>237</v>
      </c>
      <c r="D98" s="651" t="s">
        <v>238</v>
      </c>
      <c r="E98" s="651"/>
      <c r="F98" s="651"/>
      <c r="G98" s="651"/>
      <c r="H98" s="651"/>
      <c r="I98" s="651"/>
      <c r="J98" s="651"/>
      <c r="K98" s="651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63">
        <f>S3_storage.50_SEK</f>
        <v>350</v>
      </c>
      <c r="E99" s="663"/>
      <c r="F99" s="663"/>
      <c r="G99" s="663"/>
      <c r="H99" s="663"/>
      <c r="I99" s="663"/>
      <c r="J99" s="663"/>
      <c r="K99" s="663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48">
        <f>S3_storage.100_SEK</f>
        <v>270</v>
      </c>
      <c r="E100" s="648"/>
      <c r="F100" s="648"/>
      <c r="G100" s="648"/>
      <c r="H100" s="648"/>
      <c r="I100" s="648"/>
      <c r="J100" s="648"/>
      <c r="K100" s="648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57">
        <f>S3_storage.500_SEK</f>
        <v>200</v>
      </c>
      <c r="E101" s="657"/>
      <c r="F101" s="657"/>
      <c r="G101" s="657"/>
      <c r="H101" s="657"/>
      <c r="I101" s="657"/>
      <c r="J101" s="657"/>
      <c r="K101" s="657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48">
        <f>S3_storage.1000_SEK</f>
        <v>185</v>
      </c>
      <c r="E102" s="648"/>
      <c r="F102" s="648"/>
      <c r="G102" s="648"/>
      <c r="H102" s="648"/>
      <c r="I102" s="648"/>
      <c r="J102" s="648"/>
      <c r="K102" s="648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50" t="str">
        <f>S3_storage.quote_SEK</f>
        <v>Be om offert</v>
      </c>
      <c r="E103" s="650"/>
      <c r="F103" s="650"/>
      <c r="G103" s="650"/>
      <c r="H103" s="650"/>
      <c r="I103" s="650"/>
      <c r="J103" s="650"/>
      <c r="K103" s="650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219</v>
      </c>
      <c r="C106" s="26"/>
      <c r="D106" s="26"/>
      <c r="E106" s="138" t="s">
        <v>221</v>
      </c>
      <c r="F106" s="651" t="s">
        <v>238</v>
      </c>
      <c r="G106" s="651"/>
      <c r="H106" s="285" t="s">
        <v>237</v>
      </c>
      <c r="I106" s="284"/>
      <c r="J106" s="284"/>
      <c r="K106" s="284"/>
      <c r="L106" s="284"/>
      <c r="M106" s="284"/>
      <c r="N106" s="612" t="s">
        <v>86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1" cm="1">
        <f t="array" ref="F107">_xlfn.IFS(H107&lt;51,D99,H107&lt;101,D100,H107&lt;501,D101,H107&lt;1001,D102,H107&gt;1000,D103)</f>
        <v>350</v>
      </c>
      <c r="G107" s="672"/>
      <c r="H107" s="318"/>
      <c r="I107" s="537" t="s">
        <v>87</v>
      </c>
      <c r="J107" s="320"/>
      <c r="K107" s="320"/>
      <c r="L107" s="320"/>
      <c r="M107" s="321"/>
      <c r="N107" s="490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54" t="s">
        <v>90</v>
      </c>
      <c r="C115" s="654"/>
      <c r="D115" s="654"/>
      <c r="E115" s="654"/>
      <c r="F115" s="654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29" t="s">
        <v>239</v>
      </c>
      <c r="C116" s="629"/>
      <c r="D116" s="629"/>
      <c r="E116" s="629"/>
      <c r="F116" s="629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240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219</v>
      </c>
      <c r="C119" s="651" t="s">
        <v>241</v>
      </c>
      <c r="D119" s="651"/>
      <c r="E119" s="138" t="s">
        <v>221</v>
      </c>
      <c r="F119" s="651" t="s">
        <v>233</v>
      </c>
      <c r="G119" s="651"/>
      <c r="H119" s="285" t="s">
        <v>93</v>
      </c>
      <c r="I119" s="284"/>
      <c r="J119" s="649" t="s">
        <v>242</v>
      </c>
      <c r="K119" s="649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04" t="s">
        <v>96</v>
      </c>
      <c r="C120" s="539"/>
      <c r="D120" s="31" t="s">
        <v>97</v>
      </c>
      <c r="E120" s="31" t="s">
        <v>97</v>
      </c>
      <c r="F120" s="676">
        <f>BAAS_on.demand_SEK</f>
        <v>2.4500000000000002</v>
      </c>
      <c r="G120" s="677"/>
      <c r="H120" s="330"/>
      <c r="I120" s="535" t="s">
        <v>71</v>
      </c>
      <c r="J120" s="636" t="s">
        <v>97</v>
      </c>
      <c r="K120" s="636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6" t="s">
        <v>98</v>
      </c>
      <c r="C121" s="541"/>
      <c r="D121" s="33">
        <v>5500</v>
      </c>
      <c r="E121" s="34" t="s">
        <v>97</v>
      </c>
      <c r="F121" s="679">
        <f>BAAS_small_SEK</f>
        <v>1.75</v>
      </c>
      <c r="G121" s="680"/>
      <c r="H121" s="332"/>
      <c r="I121" s="536" t="s">
        <v>71</v>
      </c>
      <c r="J121" s="640">
        <v>0.75</v>
      </c>
      <c r="K121" s="641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8" t="s">
        <v>99</v>
      </c>
      <c r="C122" s="540"/>
      <c r="D122" s="35">
        <v>9500</v>
      </c>
      <c r="E122" s="37" t="s">
        <v>97</v>
      </c>
      <c r="F122" s="681">
        <f>BAAS_large_SEK</f>
        <v>0.92</v>
      </c>
      <c r="G122" s="682"/>
      <c r="H122" s="318"/>
      <c r="I122" s="537" t="s">
        <v>71</v>
      </c>
      <c r="J122" s="645">
        <v>0.75</v>
      </c>
      <c r="K122" s="646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243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244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245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246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7" t="s">
        <v>247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29" t="s">
        <v>239</v>
      </c>
      <c r="C136" s="629"/>
      <c r="D136" s="629"/>
      <c r="E136" s="629"/>
      <c r="F136" s="629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29"/>
      <c r="C137" s="629"/>
      <c r="D137" s="629"/>
      <c r="E137" s="629"/>
      <c r="F137" s="629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3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248</v>
      </c>
      <c r="C139" s="140"/>
      <c r="D139" s="140"/>
      <c r="E139" s="140"/>
      <c r="F139" s="603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2" t="s">
        <v>219</v>
      </c>
      <c r="C140" s="25" t="s">
        <v>249</v>
      </c>
      <c r="D140" s="25"/>
      <c r="E140" s="26" t="s">
        <v>232</v>
      </c>
      <c r="F140" s="284"/>
      <c r="G140" s="284"/>
      <c r="H140" s="284"/>
      <c r="I140" s="284"/>
      <c r="J140" s="284"/>
      <c r="K140" s="284"/>
      <c r="L140" s="338" t="s">
        <v>250</v>
      </c>
      <c r="M140" s="338"/>
      <c r="N140" s="612" t="s">
        <v>222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111</v>
      </c>
      <c r="M141" s="343"/>
      <c r="N141" s="619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20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252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9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252</v>
      </c>
      <c r="D144" s="137"/>
      <c r="E144" s="43" t="s">
        <v>253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20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9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20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9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20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255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8" t="s">
        <v>219</v>
      </c>
      <c r="C151" s="25" t="s">
        <v>249</v>
      </c>
      <c r="D151" s="110"/>
      <c r="E151" s="110" t="s">
        <v>232</v>
      </c>
      <c r="F151" s="357"/>
      <c r="G151" s="357"/>
      <c r="H151" s="357"/>
      <c r="I151" s="357"/>
      <c r="J151" s="357"/>
      <c r="K151" s="357"/>
      <c r="L151" s="356" t="s">
        <v>250</v>
      </c>
      <c r="M151" s="356"/>
      <c r="N151" s="358" t="s">
        <v>222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8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7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8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256</v>
      </c>
      <c r="M155" s="349"/>
      <c r="N155" s="617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8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7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8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144</v>
      </c>
      <c r="M159" s="349"/>
      <c r="N159" s="617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219</v>
      </c>
      <c r="C163" s="25"/>
      <c r="D163" s="25"/>
      <c r="E163" s="25" t="s">
        <v>232</v>
      </c>
      <c r="F163" s="284"/>
      <c r="G163" s="284"/>
      <c r="H163" s="284"/>
      <c r="I163" s="284"/>
      <c r="J163" s="284"/>
      <c r="K163" s="284"/>
      <c r="L163" s="612"/>
      <c r="M163" s="338"/>
      <c r="N163" s="612" t="s">
        <v>222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8">
        <f>PAAS_man.kubernetes_SEK</f>
        <v>49000</v>
      </c>
      <c r="N164" s="678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73">
        <f>PAAS_man.postgres.sql_SEK</f>
        <v>19500</v>
      </c>
      <c r="N165" s="673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74">
        <f>PAAS_man.elasticsearch_SEK</f>
        <v>19500</v>
      </c>
      <c r="N166" s="674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73">
        <f>PAAS_man.redis_SEK</f>
        <v>19000</v>
      </c>
      <c r="N167" s="673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74">
        <f>PAAS_man.nats_SEK</f>
        <v>19500</v>
      </c>
      <c r="N168" s="674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75">
        <f>PAAS_man.mariadb_SEK</f>
        <v>19500</v>
      </c>
      <c r="N169" s="675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5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260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29" t="s">
        <v>239</v>
      </c>
      <c r="C176" s="629"/>
      <c r="D176" s="629"/>
      <c r="E176" s="629"/>
      <c r="F176" s="629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9"/>
      <c r="C177" s="629"/>
      <c r="D177" s="629"/>
      <c r="E177" s="629"/>
      <c r="F177" s="629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2" t="s">
        <v>219</v>
      </c>
      <c r="C180" s="25"/>
      <c r="D180" s="25" t="s">
        <v>232</v>
      </c>
      <c r="E180" s="139"/>
      <c r="F180" s="284"/>
      <c r="G180" s="612"/>
      <c r="H180" s="612"/>
      <c r="I180" s="612"/>
      <c r="J180" s="612"/>
      <c r="K180" s="612"/>
      <c r="L180" s="338" t="s">
        <v>250</v>
      </c>
      <c r="M180" s="338"/>
      <c r="N180" s="612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6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5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263</v>
      </c>
      <c r="M183" s="343"/>
      <c r="N183" s="496" t="s">
        <v>264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5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60" t="s">
        <v>266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2" t="s">
        <v>219</v>
      </c>
      <c r="C187" s="25"/>
      <c r="D187" s="25" t="s">
        <v>232</v>
      </c>
      <c r="E187" s="139"/>
      <c r="F187" s="284"/>
      <c r="G187" s="612"/>
      <c r="H187" s="612"/>
      <c r="I187" s="612"/>
      <c r="J187" s="612"/>
      <c r="K187" s="612"/>
      <c r="L187" s="338" t="s">
        <v>250</v>
      </c>
      <c r="M187" s="338"/>
      <c r="N187" s="612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263</v>
      </c>
      <c r="M188" s="343"/>
      <c r="N188" s="481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263</v>
      </c>
      <c r="M189" s="349"/>
      <c r="N189" s="482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263</v>
      </c>
      <c r="M190" s="343"/>
      <c r="N190" s="481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263</v>
      </c>
      <c r="M191" s="349"/>
      <c r="N191" s="482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263</v>
      </c>
      <c r="M192" s="343"/>
      <c r="N192" s="481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263</v>
      </c>
      <c r="M193" s="349"/>
      <c r="N193" s="482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5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19"/>
      <c r="Q195" s="168"/>
      <c r="R195" s="350"/>
      <c r="S195" s="304"/>
      <c r="T195" s="201"/>
    </row>
    <row r="196" spans="1:23" ht="25.5" customHeight="1">
      <c r="B196" s="460" t="s">
        <v>267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2" t="s">
        <v>219</v>
      </c>
      <c r="C197" s="25"/>
      <c r="D197" s="25" t="s">
        <v>232</v>
      </c>
      <c r="E197" s="139"/>
      <c r="F197" s="284"/>
      <c r="G197" s="338" t="s">
        <v>268</v>
      </c>
      <c r="H197" s="338"/>
      <c r="I197" s="338"/>
      <c r="J197" s="338"/>
      <c r="K197" s="338"/>
      <c r="L197" s="338" t="s">
        <v>250</v>
      </c>
      <c r="M197" s="338"/>
      <c r="N197" s="612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269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271</v>
      </c>
      <c r="M198" s="343"/>
      <c r="N198" s="496" t="s">
        <v>264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272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271</v>
      </c>
      <c r="M199" s="349"/>
      <c r="N199" s="495" t="s">
        <v>264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273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271</v>
      </c>
      <c r="M200" s="343"/>
      <c r="N200" s="496" t="s">
        <v>264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275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271</v>
      </c>
      <c r="M201" s="349"/>
      <c r="N201" s="495" t="s">
        <v>264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5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30" t="s">
        <v>276</v>
      </c>
      <c r="C208" s="630"/>
      <c r="D208" s="630"/>
      <c r="E208" s="630"/>
      <c r="F208" s="630"/>
      <c r="G208" s="630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30"/>
      <c r="C209" s="630"/>
      <c r="D209" s="630"/>
      <c r="E209" s="630"/>
      <c r="F209" s="630"/>
      <c r="G209" s="630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30"/>
      <c r="C210" s="630"/>
      <c r="D210" s="630"/>
      <c r="E210" s="630"/>
      <c r="F210" s="630"/>
      <c r="G210" s="630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70" t="s">
        <v>239</v>
      </c>
      <c r="C211" s="670"/>
      <c r="D211" s="670"/>
      <c r="E211" s="670"/>
      <c r="F211" s="670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70" t="s">
        <v>277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278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276</v>
      </c>
      <c r="N217" s="392"/>
      <c r="O217" s="393"/>
      <c r="P217" s="205"/>
      <c r="Q217" s="337"/>
    </row>
    <row r="218" spans="1:23" ht="25.5" customHeight="1">
      <c r="A218" s="389"/>
      <c r="B218" s="632" t="s">
        <v>207</v>
      </c>
      <c r="C218" s="632"/>
      <c r="D218" s="72"/>
      <c r="E218" s="73"/>
      <c r="F218" s="394"/>
      <c r="G218" s="395"/>
      <c r="H218" s="395"/>
      <c r="I218" s="395"/>
      <c r="J218" s="395"/>
      <c r="K218" s="396"/>
      <c r="L218" s="396"/>
      <c r="M218" s="397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24" t="s">
        <v>208</v>
      </c>
      <c r="C219" s="624"/>
      <c r="D219" s="74"/>
      <c r="E219" s="75"/>
      <c r="F219" s="398"/>
      <c r="G219" s="399"/>
      <c r="H219" s="399"/>
      <c r="I219" s="399"/>
      <c r="J219" s="399"/>
      <c r="K219" s="400"/>
      <c r="L219" s="400"/>
      <c r="M219" s="401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01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25" t="s">
        <v>210</v>
      </c>
      <c r="C221" s="625"/>
      <c r="D221" s="35"/>
      <c r="E221" s="36"/>
      <c r="F221" s="334"/>
      <c r="G221" s="621"/>
      <c r="H221" s="621"/>
      <c r="I221" s="621"/>
      <c r="J221" s="621"/>
      <c r="K221" s="319"/>
      <c r="L221" s="319"/>
      <c r="M221" s="322">
        <f>N72+N80+N63+N38</f>
        <v>0</v>
      </c>
      <c r="N221" s="293"/>
      <c r="O221" s="402"/>
      <c r="P221" s="403"/>
    </row>
    <row r="222" spans="1:23" ht="25.5" customHeight="1">
      <c r="A222" s="389"/>
      <c r="B222" s="60" t="s">
        <v>88</v>
      </c>
      <c r="C222" s="61"/>
      <c r="D222" s="61"/>
      <c r="E222" s="61"/>
      <c r="F222" s="405"/>
      <c r="G222" s="406"/>
      <c r="H222" s="406"/>
      <c r="I222" s="406"/>
      <c r="J222" s="667">
        <f>SUM(M218:M221)</f>
        <v>0</v>
      </c>
      <c r="K222" s="667"/>
      <c r="L222" s="667"/>
      <c r="M222" s="667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RAV0EzQCF1sCqXMa2ImApCmGxC0cMtrtSvDH0htXLUSfedPcL79CVEpWU+k3lzSpiCUaQdjXSmBA3shiA5nnDA==" saltValue="iOjq7tgHualfV9d/TUKZDw==" spinCount="100000" sheet="1" objects="1" scenarios="1" selectLockedCells="1"/>
  <mergeCells count="68">
    <mergeCell ref="M167:N167"/>
    <mergeCell ref="M168:N168"/>
    <mergeCell ref="M169:N169"/>
    <mergeCell ref="J120:K120"/>
    <mergeCell ref="F120:G120"/>
    <mergeCell ref="M164:N164"/>
    <mergeCell ref="M165:N165"/>
    <mergeCell ref="M166:N166"/>
    <mergeCell ref="F121:G121"/>
    <mergeCell ref="J122:K122"/>
    <mergeCell ref="F122:G122"/>
    <mergeCell ref="J121:K121"/>
    <mergeCell ref="B91:G93"/>
    <mergeCell ref="B94:F94"/>
    <mergeCell ref="B95:F95"/>
    <mergeCell ref="B112:G114"/>
    <mergeCell ref="B115:F115"/>
    <mergeCell ref="F106:G106"/>
    <mergeCell ref="F107:G107"/>
    <mergeCell ref="F98:G98"/>
    <mergeCell ref="B221:C221"/>
    <mergeCell ref="B116:F116"/>
    <mergeCell ref="B208:G210"/>
    <mergeCell ref="B211:F211"/>
    <mergeCell ref="B218:C218"/>
    <mergeCell ref="B219:C219"/>
    <mergeCell ref="F119:G119"/>
    <mergeCell ref="B136:F136"/>
    <mergeCell ref="B133:G135"/>
    <mergeCell ref="B137:F137"/>
    <mergeCell ref="C119:D119"/>
    <mergeCell ref="B173:G175"/>
    <mergeCell ref="B176:F176"/>
    <mergeCell ref="B177:F177"/>
    <mergeCell ref="B4:C4"/>
    <mergeCell ref="F84:G84"/>
    <mergeCell ref="F85:G85"/>
    <mergeCell ref="F86:G86"/>
    <mergeCell ref="H84:I84"/>
    <mergeCell ref="H85:I85"/>
    <mergeCell ref="H86:I86"/>
    <mergeCell ref="B15:G17"/>
    <mergeCell ref="B19:F19"/>
    <mergeCell ref="J222:M222"/>
    <mergeCell ref="D98:E98"/>
    <mergeCell ref="D99:E99"/>
    <mergeCell ref="D100:E100"/>
    <mergeCell ref="D101:E101"/>
    <mergeCell ref="D102:E102"/>
    <mergeCell ref="D103:E103"/>
    <mergeCell ref="F99:G99"/>
    <mergeCell ref="F100:G100"/>
    <mergeCell ref="F101:G101"/>
    <mergeCell ref="F102:G102"/>
    <mergeCell ref="F103:G103"/>
    <mergeCell ref="J98:K98"/>
    <mergeCell ref="H99:I99"/>
    <mergeCell ref="H98:I98"/>
    <mergeCell ref="J119:K119"/>
    <mergeCell ref="J102:K102"/>
    <mergeCell ref="H103:I103"/>
    <mergeCell ref="J103:K103"/>
    <mergeCell ref="H102:I102"/>
    <mergeCell ref="J99:K99"/>
    <mergeCell ref="J100:K100"/>
    <mergeCell ref="H101:I101"/>
    <mergeCell ref="J101:K101"/>
    <mergeCell ref="H100:I100"/>
  </mergeCells>
  <phoneticPr fontId="2" type="noConversion"/>
  <conditionalFormatting sqref="M25:N33 M64:N66 M41:N41 M36:N37">
    <cfRule type="cellIs" dxfId="134" priority="106" operator="greaterThan">
      <formula>0</formula>
    </cfRule>
  </conditionalFormatting>
  <conditionalFormatting sqref="H120 H107 J85:J86 I25:K33 I68:K71 I36:K37">
    <cfRule type="cellIs" dxfId="133" priority="105" operator="greaterThan">
      <formula>0</formula>
    </cfRule>
  </conditionalFormatting>
  <conditionalFormatting sqref="J86">
    <cfRule type="cellIs" dxfId="132" priority="104" operator="greaterThan">
      <formula>0</formula>
    </cfRule>
  </conditionalFormatting>
  <conditionalFormatting sqref="J85">
    <cfRule type="cellIs" dxfId="131" priority="103" operator="greaterThan">
      <formula>0</formula>
    </cfRule>
  </conditionalFormatting>
  <conditionalFormatting sqref="H107">
    <cfRule type="cellIs" dxfId="130" priority="100" operator="greaterThan">
      <formula>0</formula>
    </cfRule>
  </conditionalFormatting>
  <conditionalFormatting sqref="I25:I33 I36:I37">
    <cfRule type="cellIs" dxfId="129" priority="86" operator="lessThan">
      <formula>$J25</formula>
    </cfRule>
  </conditionalFormatting>
  <conditionalFormatting sqref="H122 J122">
    <cfRule type="cellIs" dxfId="128" priority="78" operator="greaterThan">
      <formula>0</formula>
    </cfRule>
  </conditionalFormatting>
  <conditionalFormatting sqref="J122">
    <cfRule type="cellIs" dxfId="127" priority="77" operator="greaterThan">
      <formula>0</formula>
    </cfRule>
  </conditionalFormatting>
  <conditionalFormatting sqref="H121 J121">
    <cfRule type="cellIs" dxfId="126" priority="76" operator="greaterThan">
      <formula>0</formula>
    </cfRule>
  </conditionalFormatting>
  <conditionalFormatting sqref="J121">
    <cfRule type="cellIs" dxfId="125" priority="75" operator="greaterThan">
      <formula>0</formula>
    </cfRule>
  </conditionalFormatting>
  <conditionalFormatting sqref="M68:N68 M70:N70">
    <cfRule type="cellIs" dxfId="124" priority="44" operator="greaterThan">
      <formula>0</formula>
    </cfRule>
  </conditionalFormatting>
  <conditionalFormatting sqref="I68:K71">
    <cfRule type="cellIs" dxfId="123" priority="55" operator="lessThan">
      <formula>$J68</formula>
    </cfRule>
  </conditionalFormatting>
  <conditionalFormatting sqref="M69:N69 M71:N71">
    <cfRule type="cellIs" dxfId="122" priority="50" operator="greaterThan">
      <formula>0</formula>
    </cfRule>
  </conditionalFormatting>
  <conditionalFormatting sqref="M69:N69 M71:N71">
    <cfRule type="cellIs" dxfId="121" priority="47" operator="greaterThan">
      <formula>0</formula>
    </cfRule>
  </conditionalFormatting>
  <conditionalFormatting sqref="I77:J79">
    <cfRule type="cellIs" dxfId="120" priority="36" operator="greaterThan">
      <formula>0</formula>
    </cfRule>
  </conditionalFormatting>
  <conditionalFormatting sqref="M77:N78">
    <cfRule type="cellIs" dxfId="119" priority="37" operator="greaterThan">
      <formula>0</formula>
    </cfRule>
  </conditionalFormatting>
  <conditionalFormatting sqref="I77:J79">
    <cfRule type="cellIs" dxfId="118" priority="38" operator="lessThan">
      <formula>$J77</formula>
    </cfRule>
  </conditionalFormatting>
  <conditionalFormatting sqref="M79:N79">
    <cfRule type="cellIs" dxfId="117" priority="34" operator="greaterThan">
      <formula>0</formula>
    </cfRule>
  </conditionalFormatting>
  <conditionalFormatting sqref="K77:K79">
    <cfRule type="cellIs" dxfId="116" priority="32" operator="greaterThan">
      <formula>0</formula>
    </cfRule>
  </conditionalFormatting>
  <conditionalFormatting sqref="M44:N44 M46:N46 M48:N48 M50:N50 M52:N52 M54:N54 M56:N56 M58:N58 M60:N60">
    <cfRule type="cellIs" dxfId="115" priority="21" operator="greaterThan">
      <formula>0</formula>
    </cfRule>
  </conditionalFormatting>
  <conditionalFormatting sqref="M68:N68 M70:N70">
    <cfRule type="cellIs" dxfId="114" priority="14" operator="greaterThan">
      <formula>0</formula>
    </cfRule>
  </conditionalFormatting>
  <conditionalFormatting sqref="I43:K60">
    <cfRule type="cellIs" dxfId="113" priority="22" operator="greaterThan">
      <formula>0</formula>
    </cfRule>
  </conditionalFormatting>
  <conditionalFormatting sqref="M43:N43 M45:N45 M47:N47 M49:N49 M51:N51 M53:N53 M55:N55 M57:N57 M59:N59">
    <cfRule type="cellIs" dxfId="112" priority="20" operator="greaterThan">
      <formula>0</formula>
    </cfRule>
  </conditionalFormatting>
  <conditionalFormatting sqref="M44:N44 M46:N46 M48:N48 M50:N50 M52:N52 M54:N54 M56:N56 M58:N58 M60:N60">
    <cfRule type="cellIs" dxfId="111" priority="19" operator="greaterThan">
      <formula>0</formula>
    </cfRule>
  </conditionalFormatting>
  <conditionalFormatting sqref="M43:N43 M45:N45 M47:N47 M49:N49 M51:N51 M53:N53 M55:N55 M57:N57 M59:N59">
    <cfRule type="cellIs" dxfId="110" priority="18" operator="greaterThan">
      <formula>0</formula>
    </cfRule>
  </conditionalFormatting>
  <conditionalFormatting sqref="N43:N60">
    <cfRule type="cellIs" dxfId="109" priority="17" operator="greaterThan">
      <formula>0</formula>
    </cfRule>
  </conditionalFormatting>
  <conditionalFormatting sqref="I43:I60">
    <cfRule type="cellIs" dxfId="108" priority="23" operator="lessThan">
      <formula>$J43</formula>
    </cfRule>
  </conditionalFormatting>
  <conditionalFormatting sqref="M69:N69 M71:N71">
    <cfRule type="cellIs" dxfId="107" priority="16" operator="greaterThan">
      <formula>0</formula>
    </cfRule>
  </conditionalFormatting>
  <conditionalFormatting sqref="M68:N68 M70:N70">
    <cfRule type="cellIs" dxfId="106" priority="15" operator="greaterThan">
      <formula>0</formula>
    </cfRule>
  </conditionalFormatting>
  <conditionalFormatting sqref="M34:N35">
    <cfRule type="cellIs" dxfId="105" priority="13" operator="greaterThan">
      <formula>0</formula>
    </cfRule>
  </conditionalFormatting>
  <conditionalFormatting sqref="I34:K35">
    <cfRule type="cellIs" dxfId="104" priority="12" operator="greaterThan">
      <formula>0</formula>
    </cfRule>
  </conditionalFormatting>
  <conditionalFormatting sqref="I34:I35">
    <cfRule type="cellIs" dxfId="103" priority="11" operator="lessThan">
      <formula>$J34</formula>
    </cfRule>
  </conditionalFormatting>
  <conditionalFormatting sqref="I61:K61">
    <cfRule type="cellIs" dxfId="102" priority="9" operator="greaterThan">
      <formula>0</formula>
    </cfRule>
  </conditionalFormatting>
  <conditionalFormatting sqref="M61:N61">
    <cfRule type="cellIs" dxfId="101" priority="8" operator="greaterThan">
      <formula>0</formula>
    </cfRule>
  </conditionalFormatting>
  <conditionalFormatting sqref="M61:N61">
    <cfRule type="cellIs" dxfId="100" priority="7" operator="greaterThan">
      <formula>0</formula>
    </cfRule>
  </conditionalFormatting>
  <conditionalFormatting sqref="N61">
    <cfRule type="cellIs" dxfId="99" priority="6" operator="greaterThan">
      <formula>0</formula>
    </cfRule>
  </conditionalFormatting>
  <conditionalFormatting sqref="I61">
    <cfRule type="cellIs" dxfId="98" priority="10" operator="lessThan">
      <formula>$J61</formula>
    </cfRule>
  </conditionalFormatting>
  <conditionalFormatting sqref="M62:N62">
    <cfRule type="cellIs" dxfId="97" priority="3" operator="greaterThan">
      <formula>0</formula>
    </cfRule>
  </conditionalFormatting>
  <conditionalFormatting sqref="I62:K62">
    <cfRule type="cellIs" dxfId="96" priority="4" operator="greaterThan">
      <formula>0</formula>
    </cfRule>
  </conditionalFormatting>
  <conditionalFormatting sqref="M62:N62">
    <cfRule type="cellIs" dxfId="95" priority="2" operator="greaterThan">
      <formula>0</formula>
    </cfRule>
  </conditionalFormatting>
  <conditionalFormatting sqref="N62">
    <cfRule type="cellIs" dxfId="94" priority="1" operator="greaterThan">
      <formula>0</formula>
    </cfRule>
  </conditionalFormatting>
  <conditionalFormatting sqref="I62">
    <cfRule type="cellIs" dxfId="93" priority="5" operator="lessThan">
      <formula>$J62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5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5" orientation="portrait" r:id="rId4"/>
  <headerFooter>
    <oddFooter>&amp;C&amp;P av &amp;N</oddFooter>
  </headerFooter>
  <rowBreaks count="6" manualBreakCount="6">
    <brk id="40" max="14" man="1"/>
    <brk id="87" max="14" man="1"/>
    <brk id="126" max="14" man="1"/>
    <brk id="225" max="13" man="1"/>
    <brk id="245" max="13" man="1"/>
    <brk id="267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8DC3-30AA-B849-870E-7E617BDE3912}">
  <sheetPr>
    <pageSetUpPr fitToPage="1"/>
  </sheetPr>
  <dimension ref="A1:AI609"/>
  <sheetViews>
    <sheetView showGridLines="0" zoomScale="93" zoomScaleNormal="93" zoomScaleSheetLayoutView="100" workbookViewId="0">
      <selection activeCell="D3" sqref="D3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6"/>
      <c r="C4" s="66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419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279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280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440"/>
      <c r="D10" s="2" t="str">
        <f>"1 SEK = "&amp;NOK&amp;" NOK"</f>
        <v>1 SEK = 1 NOK</v>
      </c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69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281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9" t="s">
        <v>282</v>
      </c>
      <c r="C19" s="629"/>
      <c r="D19" s="629"/>
      <c r="E19" s="629"/>
      <c r="F19" s="629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601" t="s">
        <v>421</v>
      </c>
      <c r="C20" s="76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283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284</v>
      </c>
      <c r="H24" s="207" t="s">
        <v>285</v>
      </c>
      <c r="I24" s="208" t="s">
        <v>286</v>
      </c>
      <c r="J24" s="208" t="s">
        <v>287</v>
      </c>
      <c r="K24" s="208" t="s">
        <v>288</v>
      </c>
      <c r="L24" s="209"/>
      <c r="M24" s="207" t="s">
        <v>226</v>
      </c>
      <c r="N24" s="207" t="s">
        <v>289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5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1">J25*C25*SW_win.ser.201X_SEK+K25*C25*SW_ms.sql.ser_SEK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18">
        <v>1</v>
      </c>
      <c r="D26" s="18">
        <v>2</v>
      </c>
      <c r="E26" s="483">
        <v>40</v>
      </c>
      <c r="F26" s="220"/>
      <c r="G26" s="221">
        <f t="shared" si="0"/>
        <v>0.46388888888888891</v>
      </c>
      <c r="H26" s="222">
        <f t="shared" ref="H26:H35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1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18">
        <v>4</v>
      </c>
      <c r="D28" s="18">
        <v>8</v>
      </c>
      <c r="E28" s="483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18">
        <v>16</v>
      </c>
      <c r="D30" s="18">
        <v>32</v>
      </c>
      <c r="E30" s="483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2"/>
    </row>
    <row r="32" spans="2:29" s="192" customFormat="1" ht="25.5" customHeight="1">
      <c r="B32" s="500" t="s">
        <v>28</v>
      </c>
      <c r="C32" s="18">
        <v>2</v>
      </c>
      <c r="D32" s="18">
        <v>8</v>
      </c>
      <c r="E32" s="483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2"/>
    </row>
    <row r="33" spans="2:23" s="192" customFormat="1" ht="25.5" customHeight="1">
      <c r="B33" s="499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2"/>
    </row>
    <row r="34" spans="2:23" s="192" customFormat="1" ht="25.5" customHeight="1">
      <c r="B34" s="500" t="s">
        <v>30</v>
      </c>
      <c r="C34" s="18">
        <v>8</v>
      </c>
      <c r="D34" s="18">
        <v>32</v>
      </c>
      <c r="E34" s="483">
        <v>40</v>
      </c>
      <c r="F34" s="220"/>
      <c r="G34" s="221">
        <f t="shared" si="0"/>
        <v>3.5333333333333332</v>
      </c>
      <c r="H34" s="222">
        <f t="shared" si="2"/>
        <v>2544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1"/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0"/>
        <v>6.8666666666666663</v>
      </c>
      <c r="H35" s="216">
        <f t="shared" si="2"/>
        <v>4944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1"/>
        <v>0</v>
      </c>
      <c r="P35" s="219"/>
      <c r="U35" s="200"/>
      <c r="V35" s="200"/>
      <c r="W35" s="200"/>
    </row>
    <row r="36" spans="2:23" s="192" customFormat="1" ht="25.5" customHeight="1">
      <c r="B36" s="500" t="s">
        <v>414</v>
      </c>
      <c r="C36" s="18">
        <v>32</v>
      </c>
      <c r="D36" s="18">
        <v>128</v>
      </c>
      <c r="E36" s="483">
        <v>40</v>
      </c>
      <c r="F36" s="220"/>
      <c r="G36" s="221">
        <f t="shared" ref="G36:G37" si="4">H36/720</f>
        <v>13.533333333333333</v>
      </c>
      <c r="H36" s="222">
        <f t="shared" ref="H36:H37" si="5">C36*IAAS_vcpu_SEK+D36*IAAS_ram_SEK+E36*IAAS_ssd_SEK</f>
        <v>9744</v>
      </c>
      <c r="I36" s="217"/>
      <c r="J36" s="217"/>
      <c r="K36" s="217"/>
      <c r="L36" s="220" t="s">
        <v>62</v>
      </c>
      <c r="M36" s="223">
        <f t="shared" ref="M36:M37" si="6">ROUNDUP(I36*H36,2)</f>
        <v>0</v>
      </c>
      <c r="N36" s="223">
        <f t="shared" ref="N36:N37" si="7">J36*C36*SW_win.ser.201X_SEK+K36*C36*SW_ms.sql.ser_SEK</f>
        <v>0</v>
      </c>
      <c r="P36" s="219"/>
      <c r="Q36" s="542"/>
      <c r="U36" s="200"/>
      <c r="V36" s="200"/>
      <c r="W36" s="200"/>
    </row>
    <row r="37" spans="2:23" s="192" customFormat="1" ht="25.5" customHeight="1">
      <c r="B37" s="499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4"/>
        <v>26.866666666666667</v>
      </c>
      <c r="H37" s="216">
        <f t="shared" si="5"/>
        <v>19344</v>
      </c>
      <c r="I37" s="217"/>
      <c r="J37" s="217"/>
      <c r="K37" s="217"/>
      <c r="L37" s="214" t="s">
        <v>62</v>
      </c>
      <c r="M37" s="218">
        <f t="shared" si="6"/>
        <v>0</v>
      </c>
      <c r="N37" s="218">
        <f t="shared" si="7"/>
        <v>0</v>
      </c>
      <c r="P37" s="219"/>
      <c r="U37" s="200"/>
      <c r="V37" s="200"/>
      <c r="W37" s="200"/>
    </row>
    <row r="38" spans="2:23" ht="25.5" customHeight="1">
      <c r="B38" s="501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2">
        <f>SUM(M25:M35)</f>
        <v>0</v>
      </c>
      <c r="N38" s="90">
        <f>SUM(N25:N35)</f>
        <v>0</v>
      </c>
      <c r="O38" s="202"/>
      <c r="P38" s="205"/>
      <c r="U38" s="200"/>
      <c r="V38" s="200"/>
      <c r="W38" s="228"/>
    </row>
    <row r="39" spans="2:23" ht="25.5" customHeight="1">
      <c r="B39" s="502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2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60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8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284</v>
      </c>
      <c r="H42" s="207" t="s">
        <v>285</v>
      </c>
      <c r="I42" s="208" t="s">
        <v>286</v>
      </c>
      <c r="J42" s="208" t="s">
        <v>287</v>
      </c>
      <c r="K42" s="208" t="s">
        <v>288</v>
      </c>
      <c r="L42" s="209"/>
      <c r="M42" s="207" t="s">
        <v>226</v>
      </c>
      <c r="N42" s="207" t="s">
        <v>289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4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1" si="8">H43/720</f>
        <v>0.2986111111111111</v>
      </c>
      <c r="H43" s="248">
        <f t="shared" ref="H43:H61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1" si="10">ROUNDUP(I43*H43,2)</f>
        <v>0</v>
      </c>
      <c r="N43" s="218">
        <f t="shared" ref="N43:N61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5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4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5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4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5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4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5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4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5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4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5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4" t="s">
        <v>47</v>
      </c>
      <c r="C55" s="99">
        <v>8</v>
      </c>
      <c r="D55" s="99">
        <v>32</v>
      </c>
      <c r="E55" s="101">
        <v>1000</v>
      </c>
      <c r="F55" s="246"/>
      <c r="G55" s="247">
        <f t="shared" si="8"/>
        <v>4.7222222222222223</v>
      </c>
      <c r="H55" s="248">
        <f t="shared" si="9"/>
        <v>3400</v>
      </c>
      <c r="I55" s="217"/>
      <c r="J55" s="217"/>
      <c r="K55" s="217"/>
      <c r="L55" s="249" t="s">
        <v>62</v>
      </c>
      <c r="M55" s="218">
        <f t="shared" si="10"/>
        <v>0</v>
      </c>
      <c r="N55" s="218">
        <f t="shared" si="11"/>
        <v>0</v>
      </c>
      <c r="P55" s="219"/>
      <c r="U55" s="200"/>
      <c r="W55" s="200"/>
    </row>
    <row r="56" spans="2:23" s="192" customFormat="1" ht="25.5" customHeight="1">
      <c r="B56" s="505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8"/>
        <v>7.0138888888888893</v>
      </c>
      <c r="H56" s="244">
        <f t="shared" si="9"/>
        <v>5050</v>
      </c>
      <c r="I56" s="217"/>
      <c r="J56" s="217"/>
      <c r="K56" s="217"/>
      <c r="L56" s="251" t="s">
        <v>62</v>
      </c>
      <c r="M56" s="223">
        <f t="shared" si="10"/>
        <v>0</v>
      </c>
      <c r="N56" s="223">
        <f t="shared" si="11"/>
        <v>0</v>
      </c>
      <c r="P56" s="219"/>
      <c r="U56" s="200"/>
      <c r="W56" s="200"/>
    </row>
    <row r="57" spans="2:23" s="192" customFormat="1" ht="25.5" customHeight="1">
      <c r="B57" s="504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5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4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.5" customHeight="1">
      <c r="B60" s="505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4" t="s">
        <v>53</v>
      </c>
      <c r="C61" s="99">
        <v>32</v>
      </c>
      <c r="D61" s="99">
        <v>128</v>
      </c>
      <c r="E61" s="101">
        <v>1000</v>
      </c>
      <c r="F61" s="246"/>
      <c r="G61" s="247">
        <f t="shared" si="8"/>
        <v>14.722222222222221</v>
      </c>
      <c r="H61" s="248">
        <f t="shared" si="9"/>
        <v>10600</v>
      </c>
      <c r="I61" s="217"/>
      <c r="J61" s="217"/>
      <c r="K61" s="217"/>
      <c r="L61" s="249" t="s">
        <v>62</v>
      </c>
      <c r="M61" s="218">
        <f t="shared" si="10"/>
        <v>0</v>
      </c>
      <c r="N61" s="218">
        <f t="shared" si="11"/>
        <v>0</v>
      </c>
      <c r="P61" s="219"/>
      <c r="U61" s="200"/>
      <c r="W61" s="200"/>
    </row>
    <row r="62" spans="2:23" s="192" customFormat="1" ht="25.5" customHeight="1">
      <c r="B62" s="505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ref="G62" si="12">H62/720</f>
        <v>28.055555555555557</v>
      </c>
      <c r="H62" s="244">
        <f t="shared" ref="H62" si="13">C62*IAAS_vcpu_SEK+D62*IAAS_ram_SEK+E62*IAAS_nvme_SEK</f>
        <v>20200</v>
      </c>
      <c r="I62" s="217"/>
      <c r="J62" s="217"/>
      <c r="K62" s="217"/>
      <c r="L62" s="251" t="s">
        <v>62</v>
      </c>
      <c r="M62" s="223">
        <f t="shared" ref="M62" si="14">ROUNDUP(I62*H62,2)</f>
        <v>0</v>
      </c>
      <c r="N62" s="223">
        <f t="shared" ref="N62" si="15">J62*C62*SW_win.ser.201X_SEK+K62*C62*SW_ms.sql.ser_SEK</f>
        <v>0</v>
      </c>
      <c r="P62" s="219"/>
      <c r="U62" s="200"/>
      <c r="W62" s="200"/>
    </row>
    <row r="63" spans="2:23" s="192" customFormat="1" ht="25" customHeight="1">
      <c r="B63" s="501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2">
        <f>SUM(M43:M61)</f>
        <v>0</v>
      </c>
      <c r="N63" s="90">
        <f>SUM(N43:N61)</f>
        <v>0</v>
      </c>
      <c r="P63" s="219"/>
      <c r="U63" s="200"/>
      <c r="W63" s="200"/>
    </row>
    <row r="64" spans="2:23" ht="25.5" customHeight="1">
      <c r="B64" s="506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6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7" t="s">
        <v>290</v>
      </c>
      <c r="C66" s="434"/>
      <c r="D66" s="434"/>
      <c r="E66" s="434"/>
      <c r="F66" s="434"/>
      <c r="G66" s="434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8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284</v>
      </c>
      <c r="H67" s="207" t="s">
        <v>285</v>
      </c>
      <c r="I67" s="208" t="s">
        <v>286</v>
      </c>
      <c r="J67" s="208" t="s">
        <v>287</v>
      </c>
      <c r="K67" s="208" t="s">
        <v>288</v>
      </c>
      <c r="L67" s="209"/>
      <c r="M67" s="207" t="s">
        <v>226</v>
      </c>
      <c r="N67" s="207" t="s">
        <v>289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4" t="s">
        <v>56</v>
      </c>
      <c r="C68" s="99">
        <v>4</v>
      </c>
      <c r="D68" s="99">
        <v>16</v>
      </c>
      <c r="E68" s="104">
        <v>250</v>
      </c>
      <c r="F68" s="246">
        <v>1</v>
      </c>
      <c r="G68" s="480">
        <f t="shared" ref="G68:G71" si="16">H68/720</f>
        <v>9.6527777777777786</v>
      </c>
      <c r="H68" s="478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71" si="17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3" t="s">
        <v>57</v>
      </c>
      <c r="C69" s="97">
        <v>8</v>
      </c>
      <c r="D69" s="97">
        <v>32</v>
      </c>
      <c r="E69" s="103">
        <v>500</v>
      </c>
      <c r="F69" s="242">
        <v>2</v>
      </c>
      <c r="G69" s="479">
        <f t="shared" si="16"/>
        <v>19.305555555555557</v>
      </c>
      <c r="H69" s="477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17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4" t="s">
        <v>58</v>
      </c>
      <c r="C70" s="99">
        <v>16</v>
      </c>
      <c r="D70" s="99">
        <v>64</v>
      </c>
      <c r="E70" s="104">
        <v>1000</v>
      </c>
      <c r="F70" s="246">
        <v>4</v>
      </c>
      <c r="G70" s="480">
        <f t="shared" si="16"/>
        <v>38.611111111111114</v>
      </c>
      <c r="H70" s="478">
        <f>C70*IAAS_vcpu_SEK+D70*IAAS_ram_SEK+E70*IAAS_nvme_SEK+F70*IAAS_gpu_SEK</f>
        <v>27800</v>
      </c>
      <c r="I70" s="217"/>
      <c r="J70" s="217"/>
      <c r="K70" s="217"/>
      <c r="L70" s="249" t="str">
        <f>L61</f>
        <v>Instanser</v>
      </c>
      <c r="M70" s="218">
        <f t="shared" si="17"/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3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9">
        <f t="shared" si="16"/>
        <v>60.555555555555557</v>
      </c>
      <c r="H71" s="477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17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501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2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2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2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60" t="s">
        <v>291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8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284</v>
      </c>
      <c r="H76" s="207" t="s">
        <v>285</v>
      </c>
      <c r="I76" s="208" t="s">
        <v>286</v>
      </c>
      <c r="J76" s="208" t="s">
        <v>287</v>
      </c>
      <c r="K76" s="208" t="s">
        <v>288</v>
      </c>
      <c r="L76" s="209"/>
      <c r="M76" s="207" t="s">
        <v>226</v>
      </c>
      <c r="N76" s="207" t="s">
        <v>289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18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9" si="19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8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18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0">L77</f>
        <v>Instanser</v>
      </c>
      <c r="M78" s="223">
        <f t="shared" si="19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9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18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si="19"/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502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2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10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1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60" t="s">
        <v>292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8" t="s">
        <v>219</v>
      </c>
      <c r="C84" s="26" t="s">
        <v>293</v>
      </c>
      <c r="D84" s="26"/>
      <c r="E84" s="139" t="s">
        <v>284</v>
      </c>
      <c r="F84" s="651" t="s">
        <v>294</v>
      </c>
      <c r="G84" s="651"/>
      <c r="H84" s="649"/>
      <c r="I84" s="649"/>
      <c r="J84" s="285" t="s">
        <v>295</v>
      </c>
      <c r="K84" s="284"/>
      <c r="L84" s="284"/>
      <c r="M84" s="284"/>
      <c r="N84" s="612" t="s">
        <v>95</v>
      </c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68">
        <f>VOLUME_large_SEK</f>
        <v>1.2</v>
      </c>
      <c r="G85" s="668"/>
      <c r="H85" s="665"/>
      <c r="I85" s="665"/>
      <c r="J85" s="290"/>
      <c r="K85" s="535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8" t="s">
        <v>72</v>
      </c>
      <c r="C86" s="43" t="s">
        <v>73</v>
      </c>
      <c r="D86" s="81"/>
      <c r="E86" s="83">
        <f>F86/720</f>
        <v>5.0000000000000001E-3</v>
      </c>
      <c r="F86" s="669">
        <f>VOLUME_fast_SEK</f>
        <v>3.6</v>
      </c>
      <c r="G86" s="669"/>
      <c r="H86" s="659"/>
      <c r="I86" s="659"/>
      <c r="J86" s="294"/>
      <c r="K86" s="536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1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7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7" t="s">
        <v>74</v>
      </c>
      <c r="C91" s="627"/>
      <c r="D91" s="627"/>
      <c r="E91" s="627"/>
      <c r="F91" s="627"/>
      <c r="G91" s="627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7"/>
      <c r="C92" s="627"/>
      <c r="D92" s="627"/>
      <c r="E92" s="627"/>
      <c r="F92" s="627"/>
      <c r="G92" s="627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7"/>
      <c r="C93" s="627"/>
      <c r="D93" s="627"/>
      <c r="E93" s="627"/>
      <c r="F93" s="627"/>
      <c r="G93" s="627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83" t="s">
        <v>296</v>
      </c>
      <c r="C94" s="683"/>
      <c r="D94" s="683"/>
      <c r="E94" s="683"/>
      <c r="F94" s="683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1" t="s">
        <v>297</v>
      </c>
      <c r="C95" s="661"/>
      <c r="D95" s="661"/>
      <c r="E95" s="661"/>
      <c r="F95" s="661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602" t="s">
        <v>298</v>
      </c>
      <c r="C96" s="76"/>
      <c r="D96" s="76"/>
      <c r="E96" s="76"/>
      <c r="F96" s="603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3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8" t="s">
        <v>219</v>
      </c>
      <c r="C98" s="12" t="s">
        <v>299</v>
      </c>
      <c r="D98" s="651" t="s">
        <v>300</v>
      </c>
      <c r="E98" s="651"/>
      <c r="F98" s="651"/>
      <c r="G98" s="651"/>
      <c r="H98" s="651"/>
      <c r="I98" s="651"/>
      <c r="J98" s="651"/>
      <c r="K98" s="651"/>
      <c r="L98" s="612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9" t="s">
        <v>79</v>
      </c>
      <c r="C99" s="46" t="s">
        <v>80</v>
      </c>
      <c r="D99" s="663">
        <f>S3_storage.50_SEK</f>
        <v>350</v>
      </c>
      <c r="E99" s="663"/>
      <c r="F99" s="663"/>
      <c r="G99" s="663"/>
      <c r="H99" s="663"/>
      <c r="I99" s="663"/>
      <c r="J99" s="663"/>
      <c r="K99" s="663"/>
      <c r="L99" s="615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500" t="s">
        <v>79</v>
      </c>
      <c r="C100" s="48" t="s">
        <v>81</v>
      </c>
      <c r="D100" s="648">
        <f>S3_storage.100_SEK</f>
        <v>270</v>
      </c>
      <c r="E100" s="648"/>
      <c r="F100" s="648"/>
      <c r="G100" s="648"/>
      <c r="H100" s="648"/>
      <c r="I100" s="648"/>
      <c r="J100" s="648"/>
      <c r="K100" s="648"/>
      <c r="L100" s="609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9" t="s">
        <v>79</v>
      </c>
      <c r="C101" s="46" t="s">
        <v>82</v>
      </c>
      <c r="D101" s="657">
        <f>S3_storage.500_SEK</f>
        <v>200</v>
      </c>
      <c r="E101" s="657"/>
      <c r="F101" s="657"/>
      <c r="G101" s="657"/>
      <c r="H101" s="657"/>
      <c r="I101" s="657"/>
      <c r="J101" s="657"/>
      <c r="K101" s="657"/>
      <c r="L101" s="614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500" t="s">
        <v>79</v>
      </c>
      <c r="C102" s="48" t="s">
        <v>83</v>
      </c>
      <c r="D102" s="648">
        <f>S3_storage.1000_SEK</f>
        <v>185</v>
      </c>
      <c r="E102" s="648"/>
      <c r="F102" s="648"/>
      <c r="G102" s="648"/>
      <c r="H102" s="648"/>
      <c r="I102" s="648"/>
      <c r="J102" s="648"/>
      <c r="K102" s="648"/>
      <c r="L102" s="609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9" t="s">
        <v>79</v>
      </c>
      <c r="C103" s="46" t="s">
        <v>84</v>
      </c>
      <c r="D103" s="650" t="str">
        <f>S3_storage.quote_SEK</f>
        <v>Be om offert</v>
      </c>
      <c r="E103" s="650"/>
      <c r="F103" s="650"/>
      <c r="G103" s="650"/>
      <c r="H103" s="650"/>
      <c r="I103" s="650"/>
      <c r="J103" s="650"/>
      <c r="K103" s="650"/>
      <c r="L103" s="611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6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7"/>
      <c r="C105" s="140"/>
      <c r="D105" s="140"/>
      <c r="E105" s="140"/>
      <c r="F105" s="603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8" t="s">
        <v>219</v>
      </c>
      <c r="C106" s="26"/>
      <c r="D106" s="26"/>
      <c r="E106" s="138" t="s">
        <v>284</v>
      </c>
      <c r="F106" s="651" t="s">
        <v>300</v>
      </c>
      <c r="G106" s="651"/>
      <c r="H106" s="285" t="s">
        <v>299</v>
      </c>
      <c r="I106" s="284"/>
      <c r="J106" s="284"/>
      <c r="K106" s="284"/>
      <c r="L106" s="284"/>
      <c r="M106" s="284"/>
      <c r="N106" s="612" t="s">
        <v>95</v>
      </c>
      <c r="O106" s="317"/>
      <c r="P106" s="219"/>
      <c r="R106" s="192"/>
      <c r="S106" s="192"/>
    </row>
    <row r="107" spans="2:24" s="268" customFormat="1" ht="25.5" customHeight="1">
      <c r="B107" s="528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1" cm="1">
        <f t="array" ref="F107">_xlfn.IFS(H107&lt;51,D99,H107&lt;101,D100,H107&lt;501,D101,H107&lt;1001,D102,H107&gt;1000,D103)</f>
        <v>350</v>
      </c>
      <c r="G107" s="672"/>
      <c r="H107" s="318"/>
      <c r="I107" s="537" t="s">
        <v>87</v>
      </c>
      <c r="J107" s="320"/>
      <c r="K107" s="320"/>
      <c r="L107" s="320"/>
      <c r="M107" s="321"/>
      <c r="N107" s="490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7" t="s">
        <v>89</v>
      </c>
      <c r="C112" s="627"/>
      <c r="D112" s="627"/>
      <c r="E112" s="627"/>
      <c r="F112" s="627"/>
      <c r="G112" s="627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7"/>
      <c r="C113" s="627"/>
      <c r="D113" s="627"/>
      <c r="E113" s="627"/>
      <c r="F113" s="627"/>
      <c r="G113" s="627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7"/>
      <c r="C114" s="627"/>
      <c r="D114" s="627"/>
      <c r="E114" s="627"/>
      <c r="F114" s="627"/>
      <c r="G114" s="627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83" t="s">
        <v>301</v>
      </c>
      <c r="C115" s="683"/>
      <c r="D115" s="683"/>
      <c r="E115" s="683"/>
      <c r="F115" s="683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61" t="s">
        <v>302</v>
      </c>
      <c r="C116" s="661"/>
      <c r="D116" s="661"/>
      <c r="E116" s="661"/>
      <c r="F116" s="661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602" t="s">
        <v>298</v>
      </c>
      <c r="C117" s="76"/>
      <c r="D117" s="76"/>
      <c r="E117" s="76"/>
      <c r="F117" s="603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8" t="s">
        <v>219</v>
      </c>
      <c r="C119" s="651" t="s">
        <v>303</v>
      </c>
      <c r="D119" s="651"/>
      <c r="E119" s="138" t="s">
        <v>284</v>
      </c>
      <c r="F119" s="651" t="s">
        <v>294</v>
      </c>
      <c r="G119" s="651"/>
      <c r="H119" s="285" t="s">
        <v>93</v>
      </c>
      <c r="I119" s="284"/>
      <c r="J119" s="649" t="s">
        <v>304</v>
      </c>
      <c r="K119" s="649"/>
      <c r="L119" s="610"/>
      <c r="M119" s="284"/>
      <c r="N119" s="612" t="s">
        <v>95</v>
      </c>
      <c r="O119" s="271"/>
      <c r="P119" s="205"/>
    </row>
    <row r="120" spans="1:35" ht="25.5" customHeight="1">
      <c r="A120" s="329"/>
      <c r="B120" s="604" t="s">
        <v>96</v>
      </c>
      <c r="C120" s="539"/>
      <c r="D120" s="31" t="s">
        <v>97</v>
      </c>
      <c r="E120" s="31" t="s">
        <v>97</v>
      </c>
      <c r="F120" s="676">
        <f>BAAS_on.demand_SEK</f>
        <v>2.4500000000000002</v>
      </c>
      <c r="G120" s="677"/>
      <c r="H120" s="330"/>
      <c r="I120" s="535" t="s">
        <v>71</v>
      </c>
      <c r="J120" s="636" t="s">
        <v>97</v>
      </c>
      <c r="K120" s="636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6" t="s">
        <v>98</v>
      </c>
      <c r="C121" s="541"/>
      <c r="D121" s="33">
        <v>5500</v>
      </c>
      <c r="E121" s="34" t="s">
        <v>97</v>
      </c>
      <c r="F121" s="679">
        <f>BAAS_small_SEK</f>
        <v>1.75</v>
      </c>
      <c r="G121" s="680"/>
      <c r="H121" s="332"/>
      <c r="I121" s="536" t="s">
        <v>71</v>
      </c>
      <c r="J121" s="640">
        <v>0.75</v>
      </c>
      <c r="K121" s="641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8" t="s">
        <v>99</v>
      </c>
      <c r="C122" s="540"/>
      <c r="D122" s="35">
        <v>9500</v>
      </c>
      <c r="E122" s="37" t="s">
        <v>97</v>
      </c>
      <c r="F122" s="681">
        <f>BAAS_large_SEK</f>
        <v>0.92</v>
      </c>
      <c r="G122" s="682"/>
      <c r="H122" s="318"/>
      <c r="I122" s="537" t="s">
        <v>71</v>
      </c>
      <c r="J122" s="645">
        <v>0.75</v>
      </c>
      <c r="K122" s="646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305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306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307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308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7" t="s">
        <v>309</v>
      </c>
      <c r="C133" s="627"/>
      <c r="D133" s="627"/>
      <c r="E133" s="627"/>
      <c r="F133" s="627"/>
      <c r="G133" s="627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7"/>
      <c r="C134" s="627"/>
      <c r="D134" s="627"/>
      <c r="E134" s="627"/>
      <c r="F134" s="627"/>
      <c r="G134" s="627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7"/>
      <c r="C135" s="627"/>
      <c r="D135" s="627"/>
      <c r="E135" s="627"/>
      <c r="F135" s="627"/>
      <c r="G135" s="627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61" t="s">
        <v>302</v>
      </c>
      <c r="C136" s="661"/>
      <c r="D136" s="661"/>
      <c r="E136" s="661"/>
      <c r="F136" s="661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29"/>
      <c r="C137" s="629"/>
      <c r="D137" s="629"/>
      <c r="E137" s="629"/>
      <c r="F137" s="629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3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310</v>
      </c>
      <c r="C139" s="140"/>
      <c r="D139" s="140"/>
      <c r="E139" s="140"/>
      <c r="F139" s="603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2" t="s">
        <v>219</v>
      </c>
      <c r="C140" s="25" t="s">
        <v>106</v>
      </c>
      <c r="D140" s="25"/>
      <c r="E140" s="26" t="s">
        <v>293</v>
      </c>
      <c r="F140" s="284"/>
      <c r="G140" s="284"/>
      <c r="H140" s="284"/>
      <c r="I140" s="284"/>
      <c r="J140" s="284"/>
      <c r="K140" s="284"/>
      <c r="L140" s="338" t="s">
        <v>311</v>
      </c>
      <c r="M140" s="612"/>
      <c r="N140" s="612" t="s">
        <v>285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312</v>
      </c>
      <c r="M141" s="343"/>
      <c r="N141" s="619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20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313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9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313</v>
      </c>
      <c r="D144" s="137"/>
      <c r="E144" s="43" t="s">
        <v>314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20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9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20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9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20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60" t="s">
        <v>315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8" t="s">
        <v>219</v>
      </c>
      <c r="C151" s="25" t="s">
        <v>106</v>
      </c>
      <c r="D151" s="110"/>
      <c r="E151" s="110" t="s">
        <v>293</v>
      </c>
      <c r="F151" s="357"/>
      <c r="G151" s="357"/>
      <c r="H151" s="357"/>
      <c r="I151" s="357"/>
      <c r="J151" s="357"/>
      <c r="K151" s="357"/>
      <c r="L151" s="338" t="s">
        <v>311</v>
      </c>
      <c r="M151" s="356"/>
      <c r="N151" s="612" t="s">
        <v>285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8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7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8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316</v>
      </c>
      <c r="M155" s="349"/>
      <c r="N155" s="617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8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7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8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151</v>
      </c>
      <c r="M159" s="349"/>
      <c r="N159" s="617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4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60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2" t="s">
        <v>219</v>
      </c>
      <c r="C163" s="25"/>
      <c r="D163" s="25"/>
      <c r="E163" s="25" t="s">
        <v>293</v>
      </c>
      <c r="F163" s="284"/>
      <c r="G163" s="284"/>
      <c r="H163" s="284"/>
      <c r="I163" s="284"/>
      <c r="J163" s="284"/>
      <c r="K163" s="284"/>
      <c r="L163" s="612"/>
      <c r="M163" s="338"/>
      <c r="N163" s="612" t="s">
        <v>285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8">
        <f>PAAS_man.kubernetes_SEK</f>
        <v>49000</v>
      </c>
      <c r="N164" s="678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73">
        <f>PAAS_man.postgres.sql_SEK</f>
        <v>19500</v>
      </c>
      <c r="N165" s="673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74">
        <f>PAAS_man.elasticsearch_SEK</f>
        <v>19500</v>
      </c>
      <c r="N166" s="674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73">
        <f>PAAS_man.redis_SEK</f>
        <v>19000</v>
      </c>
      <c r="N167" s="673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74">
        <f>PAAS_man.nats_SEK</f>
        <v>19500</v>
      </c>
      <c r="N168" s="674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75">
        <f>PAAS_man.mariadb_SEK</f>
        <v>19500</v>
      </c>
      <c r="N169" s="675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5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20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7" t="s">
        <v>317</v>
      </c>
      <c r="C173" s="627"/>
      <c r="D173" s="627"/>
      <c r="E173" s="627"/>
      <c r="F173" s="627"/>
      <c r="G173" s="627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7"/>
      <c r="C174" s="627"/>
      <c r="D174" s="627"/>
      <c r="E174" s="627"/>
      <c r="F174" s="627"/>
      <c r="G174" s="627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7"/>
      <c r="C175" s="627"/>
      <c r="D175" s="627"/>
      <c r="E175" s="627"/>
      <c r="F175" s="627"/>
      <c r="G175" s="627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61" t="s">
        <v>302</v>
      </c>
      <c r="C176" s="661"/>
      <c r="D176" s="661"/>
      <c r="E176" s="661"/>
      <c r="F176" s="661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9"/>
      <c r="C177" s="629"/>
      <c r="D177" s="629"/>
      <c r="E177" s="629"/>
      <c r="F177" s="629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3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60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2" t="s">
        <v>219</v>
      </c>
      <c r="C180" s="25"/>
      <c r="D180" s="25" t="s">
        <v>293</v>
      </c>
      <c r="E180" s="139"/>
      <c r="F180" s="284"/>
      <c r="G180" s="612"/>
      <c r="H180" s="612"/>
      <c r="I180" s="612"/>
      <c r="J180" s="612"/>
      <c r="K180" s="612"/>
      <c r="L180" s="338" t="s">
        <v>318</v>
      </c>
      <c r="M180" s="338"/>
      <c r="N180" s="612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6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5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319</v>
      </c>
      <c r="M183" s="343"/>
      <c r="N183" s="496" t="s">
        <v>320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5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20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60" t="s">
        <v>321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2" t="s">
        <v>219</v>
      </c>
      <c r="C187" s="25"/>
      <c r="D187" s="25" t="s">
        <v>293</v>
      </c>
      <c r="E187" s="139"/>
      <c r="F187" s="284"/>
      <c r="G187" s="612"/>
      <c r="H187" s="612"/>
      <c r="I187" s="612"/>
      <c r="J187" s="612"/>
      <c r="K187" s="612"/>
      <c r="L187" s="338" t="s">
        <v>318</v>
      </c>
      <c r="M187" s="338"/>
      <c r="N187" s="612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319</v>
      </c>
      <c r="M188" s="343"/>
      <c r="N188" s="481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319</v>
      </c>
      <c r="M189" s="349"/>
      <c r="N189" s="482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319</v>
      </c>
      <c r="M190" s="343"/>
      <c r="N190" s="481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319</v>
      </c>
      <c r="M191" s="349"/>
      <c r="N191" s="482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319</v>
      </c>
      <c r="M192" s="343"/>
      <c r="N192" s="481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319</v>
      </c>
      <c r="M193" s="349"/>
      <c r="N193" s="482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5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20"/>
      <c r="O195" s="168"/>
      <c r="P195" s="219"/>
      <c r="Q195" s="168"/>
      <c r="R195" s="350"/>
      <c r="S195" s="304"/>
      <c r="T195" s="201"/>
    </row>
    <row r="196" spans="1:23" ht="25.5" customHeight="1">
      <c r="B196" s="460" t="s">
        <v>322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2" t="s">
        <v>219</v>
      </c>
      <c r="C197" s="25"/>
      <c r="D197" s="25" t="s">
        <v>293</v>
      </c>
      <c r="E197" s="139"/>
      <c r="F197" s="284"/>
      <c r="G197" s="338" t="s">
        <v>323</v>
      </c>
      <c r="H197" s="338"/>
      <c r="I197" s="338"/>
      <c r="J197" s="338"/>
      <c r="K197" s="338"/>
      <c r="L197" s="338" t="s">
        <v>318</v>
      </c>
      <c r="M197" s="338"/>
      <c r="N197" s="612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324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325</v>
      </c>
      <c r="M198" s="343"/>
      <c r="N198" s="496" t="s">
        <v>326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327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325</v>
      </c>
      <c r="M199" s="349"/>
      <c r="N199" s="495" t="s">
        <v>326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328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325</v>
      </c>
      <c r="M200" s="343"/>
      <c r="N200" s="496" t="s">
        <v>326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329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325</v>
      </c>
      <c r="M201" s="349"/>
      <c r="N201" s="495" t="s">
        <v>326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5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9"/>
      <c r="B204" s="68"/>
      <c r="C204" s="62"/>
      <c r="D204" s="62"/>
      <c r="E204" s="62"/>
      <c r="F204" s="370"/>
      <c r="G204" s="371"/>
      <c r="H204" s="372"/>
      <c r="I204" s="372"/>
      <c r="J204" s="372"/>
      <c r="K204" s="373"/>
      <c r="L204" s="374"/>
      <c r="M204" s="374"/>
      <c r="N204" s="374"/>
      <c r="O204" s="375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6"/>
      <c r="G205" s="377"/>
      <c r="H205" s="378"/>
      <c r="I205" s="378"/>
      <c r="J205" s="378"/>
      <c r="K205" s="379"/>
      <c r="L205" s="380"/>
      <c r="M205" s="380"/>
      <c r="N205" s="380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6"/>
      <c r="G206" s="377"/>
      <c r="H206" s="378"/>
      <c r="I206" s="378"/>
      <c r="J206" s="378"/>
      <c r="K206" s="379"/>
      <c r="L206" s="380"/>
      <c r="M206" s="380"/>
      <c r="N206" s="380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6"/>
      <c r="G207" s="377"/>
      <c r="H207" s="378"/>
      <c r="I207" s="378"/>
      <c r="J207" s="378"/>
      <c r="K207" s="379"/>
      <c r="L207" s="380"/>
      <c r="M207" s="380"/>
      <c r="N207" s="380"/>
      <c r="O207" s="169"/>
      <c r="P207" s="191"/>
    </row>
    <row r="208" spans="1:23" s="187" customFormat="1" ht="25.5" customHeight="1">
      <c r="A208" s="169"/>
      <c r="B208" s="630" t="s">
        <v>330</v>
      </c>
      <c r="C208" s="630"/>
      <c r="D208" s="630"/>
      <c r="E208" s="630"/>
      <c r="F208" s="630"/>
      <c r="G208" s="630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30"/>
      <c r="C209" s="630"/>
      <c r="D209" s="630"/>
      <c r="E209" s="630"/>
      <c r="F209" s="630"/>
      <c r="G209" s="630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30"/>
      <c r="C210" s="630"/>
      <c r="D210" s="630"/>
      <c r="E210" s="630"/>
      <c r="F210" s="630"/>
      <c r="G210" s="630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70" t="s">
        <v>331</v>
      </c>
      <c r="C211" s="670"/>
      <c r="D211" s="670"/>
      <c r="E211" s="670"/>
      <c r="F211" s="670"/>
      <c r="G211" s="169"/>
      <c r="H211" s="172"/>
      <c r="I211" s="169"/>
      <c r="J211" s="173"/>
      <c r="K211" s="173"/>
      <c r="L211" s="169"/>
      <c r="M211" s="174"/>
      <c r="N211" s="174"/>
      <c r="O211" s="381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1"/>
      <c r="P212" s="199"/>
    </row>
    <row r="213" spans="1:23" s="187" customFormat="1" ht="25.5" customHeight="1">
      <c r="A213" s="169"/>
      <c r="B213" s="70" t="s">
        <v>332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1"/>
      <c r="P213" s="199"/>
    </row>
    <row r="214" spans="1:23" s="187" customFormat="1" ht="25.5" customHeight="1">
      <c r="A214" s="169"/>
      <c r="B214" s="464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1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2"/>
      <c r="G215" s="381"/>
      <c r="H215" s="383"/>
      <c r="I215" s="381"/>
      <c r="J215" s="384"/>
      <c r="K215" s="385"/>
      <c r="L215" s="381"/>
      <c r="M215" s="386"/>
      <c r="N215" s="386"/>
      <c r="O215" s="381"/>
      <c r="P215" s="199"/>
    </row>
    <row r="216" spans="1:23" s="261" customFormat="1" ht="25.5" customHeight="1">
      <c r="A216" s="387"/>
      <c r="B216" s="142"/>
      <c r="C216" s="142"/>
      <c r="D216" s="142"/>
      <c r="E216" s="142"/>
      <c r="F216" s="616"/>
      <c r="G216" s="381"/>
      <c r="H216" s="383"/>
      <c r="I216" s="381"/>
      <c r="J216" s="384"/>
      <c r="K216" s="385"/>
      <c r="L216" s="381"/>
      <c r="M216" s="386"/>
      <c r="N216" s="386"/>
      <c r="O216" s="387"/>
      <c r="P216" s="316"/>
      <c r="Q216" s="388"/>
      <c r="R216" s="287"/>
      <c r="S216" s="287"/>
      <c r="T216" s="287"/>
      <c r="U216" s="287"/>
      <c r="V216" s="287"/>
      <c r="W216" s="287"/>
    </row>
    <row r="217" spans="1:23" ht="25.5" customHeight="1">
      <c r="A217" s="389"/>
      <c r="B217" s="57" t="s">
        <v>333</v>
      </c>
      <c r="C217" s="58"/>
      <c r="D217" s="59"/>
      <c r="E217" s="58"/>
      <c r="F217" s="391"/>
      <c r="G217" s="391"/>
      <c r="H217" s="391"/>
      <c r="I217" s="391"/>
      <c r="J217" s="391"/>
      <c r="K217" s="390"/>
      <c r="L217" s="390"/>
      <c r="M217" s="391" t="s">
        <v>330</v>
      </c>
      <c r="N217" s="392"/>
      <c r="O217" s="393"/>
      <c r="P217" s="205"/>
      <c r="Q217" s="337"/>
    </row>
    <row r="218" spans="1:23" ht="25.5" customHeight="1">
      <c r="A218" s="389"/>
      <c r="B218" s="632" t="s">
        <v>207</v>
      </c>
      <c r="C218" s="632"/>
      <c r="D218" s="72"/>
      <c r="E218" s="73"/>
      <c r="F218" s="394"/>
      <c r="G218" s="395"/>
      <c r="H218" s="395"/>
      <c r="I218" s="395"/>
      <c r="J218" s="395"/>
      <c r="K218" s="396"/>
      <c r="L218" s="396"/>
      <c r="M218" s="397">
        <f>M72+M80+M63+M38+N87</f>
        <v>0</v>
      </c>
      <c r="N218" s="293"/>
      <c r="O218" s="389"/>
      <c r="P218" s="205"/>
      <c r="Q218" s="337"/>
    </row>
    <row r="219" spans="1:23" ht="25.5" customHeight="1">
      <c r="A219" s="389"/>
      <c r="B219" s="624" t="s">
        <v>208</v>
      </c>
      <c r="C219" s="624"/>
      <c r="D219" s="74"/>
      <c r="E219" s="75"/>
      <c r="F219" s="398"/>
      <c r="G219" s="399"/>
      <c r="H219" s="399"/>
      <c r="I219" s="399"/>
      <c r="J219" s="399"/>
      <c r="K219" s="400"/>
      <c r="L219" s="400"/>
      <c r="M219" s="401">
        <f>N108</f>
        <v>0</v>
      </c>
      <c r="N219" s="293"/>
      <c r="O219" s="389"/>
      <c r="P219" s="205"/>
      <c r="Q219" s="337"/>
    </row>
    <row r="220" spans="1:23" ht="25.5" customHeight="1">
      <c r="A220" s="389"/>
      <c r="B220" s="143" t="s">
        <v>209</v>
      </c>
      <c r="C220" s="143"/>
      <c r="D220" s="74"/>
      <c r="E220" s="75"/>
      <c r="F220" s="398"/>
      <c r="G220" s="399"/>
      <c r="H220" s="399"/>
      <c r="I220" s="399"/>
      <c r="J220" s="399"/>
      <c r="K220" s="400"/>
      <c r="L220" s="400"/>
      <c r="M220" s="401">
        <f>N123</f>
        <v>0</v>
      </c>
      <c r="N220" s="293"/>
      <c r="O220" s="389"/>
      <c r="P220" s="205"/>
      <c r="Q220" s="337"/>
    </row>
    <row r="221" spans="1:23" s="404" customFormat="1" ht="25.5" customHeight="1">
      <c r="A221" s="402"/>
      <c r="B221" s="625" t="s">
        <v>210</v>
      </c>
      <c r="C221" s="625"/>
      <c r="D221" s="35"/>
      <c r="E221" s="36"/>
      <c r="F221" s="334"/>
      <c r="G221" s="621"/>
      <c r="H221" s="621"/>
      <c r="I221" s="621"/>
      <c r="J221" s="621"/>
      <c r="K221" s="319"/>
      <c r="L221" s="319"/>
      <c r="M221" s="322">
        <f>N72+N80+N63+N38</f>
        <v>0</v>
      </c>
      <c r="N221" s="293"/>
      <c r="O221" s="402"/>
      <c r="P221" s="403"/>
    </row>
    <row r="222" spans="1:23" ht="25.5" customHeight="1">
      <c r="A222" s="389"/>
      <c r="B222" s="60" t="s">
        <v>88</v>
      </c>
      <c r="C222" s="61"/>
      <c r="D222" s="61"/>
      <c r="E222" s="61"/>
      <c r="F222" s="405"/>
      <c r="G222" s="406"/>
      <c r="H222" s="406"/>
      <c r="I222" s="406"/>
      <c r="J222" s="667">
        <f>SUM(M218:M221)</f>
        <v>0</v>
      </c>
      <c r="K222" s="667"/>
      <c r="L222" s="667"/>
      <c r="M222" s="667"/>
      <c r="N222" s="407"/>
      <c r="O222" s="389"/>
      <c r="P222" s="205"/>
    </row>
    <row r="223" spans="1:23" ht="25.5" customHeight="1">
      <c r="A223" s="389"/>
      <c r="B223" s="60"/>
      <c r="C223" s="61"/>
      <c r="D223" s="61"/>
      <c r="E223" s="61"/>
      <c r="F223" s="405"/>
      <c r="G223" s="406"/>
      <c r="H223" s="406"/>
      <c r="I223" s="406"/>
      <c r="J223" s="407"/>
      <c r="K223" s="407"/>
      <c r="L223" s="407"/>
      <c r="M223" s="407"/>
      <c r="N223" s="407"/>
      <c r="O223" s="389"/>
      <c r="P223" s="205"/>
    </row>
    <row r="224" spans="1:23" ht="25.5" customHeight="1">
      <c r="A224" s="389"/>
      <c r="B224" s="32"/>
      <c r="C224" s="32"/>
      <c r="D224" s="38"/>
      <c r="E224" s="39"/>
      <c r="F224" s="342"/>
      <c r="G224" s="619"/>
      <c r="H224" s="341"/>
      <c r="I224" s="291"/>
      <c r="J224" s="408"/>
      <c r="K224" s="291"/>
      <c r="L224" s="409"/>
      <c r="M224" s="293"/>
      <c r="N224" s="293"/>
      <c r="O224" s="389"/>
      <c r="P224" s="205"/>
    </row>
    <row r="225" spans="1:23" ht="25.5" customHeight="1">
      <c r="A225" s="410"/>
      <c r="B225" s="44"/>
      <c r="C225" s="44"/>
      <c r="D225" s="35"/>
      <c r="E225" s="36"/>
      <c r="F225" s="412"/>
      <c r="G225" s="621"/>
      <c r="H225" s="411"/>
      <c r="I225" s="319"/>
      <c r="J225" s="413"/>
      <c r="K225" s="319"/>
      <c r="L225" s="414"/>
      <c r="M225" s="322"/>
      <c r="N225" s="322"/>
      <c r="O225" s="415"/>
      <c r="P225" s="205"/>
    </row>
    <row r="226" spans="1:23" s="416" customFormat="1" ht="24" customHeight="1">
      <c r="B226" s="112"/>
      <c r="C226" s="112"/>
      <c r="D226" s="113"/>
      <c r="E226" s="114"/>
      <c r="F226" s="418"/>
      <c r="G226" s="419"/>
      <c r="H226" s="417"/>
      <c r="I226" s="420"/>
      <c r="J226" s="421"/>
      <c r="K226" s="420"/>
      <c r="L226" s="422"/>
      <c r="M226" s="423"/>
      <c r="N226" s="423"/>
      <c r="O226" s="424"/>
    </row>
    <row r="227" spans="1:23" s="416" customFormat="1" ht="24" customHeight="1">
      <c r="B227" s="112"/>
      <c r="C227" s="112"/>
      <c r="D227" s="112"/>
      <c r="E227" s="112"/>
      <c r="F227" s="425"/>
      <c r="G227" s="426"/>
      <c r="H227" s="427"/>
      <c r="I227" s="427"/>
      <c r="J227" s="427"/>
      <c r="K227" s="428"/>
      <c r="L227" s="423"/>
      <c r="M227" s="423"/>
      <c r="N227" s="423"/>
      <c r="O227" s="424"/>
    </row>
    <row r="228" spans="1:23" s="416" customFormat="1" ht="24" customHeight="1">
      <c r="B228" s="112"/>
      <c r="C228" s="112"/>
      <c r="D228" s="112"/>
      <c r="E228" s="112"/>
      <c r="F228" s="425"/>
      <c r="G228" s="426"/>
      <c r="H228" s="427"/>
      <c r="I228" s="427"/>
      <c r="J228" s="427"/>
      <c r="K228" s="428"/>
      <c r="L228" s="423"/>
      <c r="M228" s="423"/>
      <c r="N228" s="423"/>
      <c r="O228" s="424"/>
    </row>
    <row r="229" spans="1:23" s="416" customFormat="1" ht="24" customHeight="1">
      <c r="B229" s="112"/>
      <c r="C229" s="112"/>
      <c r="D229" s="112"/>
      <c r="E229" s="112"/>
      <c r="F229" s="425"/>
      <c r="G229" s="426"/>
      <c r="H229" s="427"/>
      <c r="I229" s="427"/>
      <c r="J229" s="427"/>
      <c r="K229" s="428"/>
      <c r="L229" s="423"/>
      <c r="M229" s="423"/>
      <c r="N229" s="423"/>
      <c r="O229" s="424"/>
    </row>
    <row r="230" spans="1:23" s="416" customFormat="1" ht="24" customHeight="1">
      <c r="B230" s="112"/>
      <c r="C230" s="112"/>
      <c r="D230" s="112"/>
      <c r="E230" s="112"/>
      <c r="F230" s="425"/>
      <c r="G230" s="426"/>
      <c r="H230" s="427"/>
      <c r="I230" s="427"/>
      <c r="J230" s="427"/>
      <c r="K230" s="428"/>
      <c r="L230" s="423"/>
      <c r="M230" s="423"/>
      <c r="N230" s="423"/>
      <c r="O230" s="424"/>
    </row>
    <row r="231" spans="1:23" s="416" customFormat="1" ht="24" customHeight="1">
      <c r="B231" s="112"/>
      <c r="C231" s="112"/>
      <c r="D231" s="112"/>
      <c r="E231" s="112"/>
      <c r="F231" s="425"/>
      <c r="G231" s="426"/>
      <c r="H231" s="427"/>
      <c r="I231" s="427"/>
      <c r="J231" s="427"/>
      <c r="K231" s="428"/>
      <c r="L231" s="423"/>
      <c r="M231" s="423"/>
      <c r="N231" s="423"/>
      <c r="O231" s="424"/>
    </row>
    <row r="232" spans="1:23" s="416" customFormat="1" ht="24" customHeight="1">
      <c r="B232" s="112"/>
      <c r="C232" s="112"/>
      <c r="D232" s="112"/>
      <c r="E232" s="112"/>
      <c r="F232" s="425"/>
      <c r="G232" s="426"/>
      <c r="H232" s="427"/>
      <c r="I232" s="427"/>
      <c r="J232" s="427"/>
      <c r="K232" s="428"/>
      <c r="L232" s="423"/>
      <c r="M232" s="423"/>
      <c r="N232" s="423"/>
      <c r="O232" s="424"/>
    </row>
    <row r="233" spans="1:23" s="416" customFormat="1" ht="24" customHeight="1">
      <c r="B233" s="112"/>
      <c r="C233" s="112"/>
      <c r="D233" s="112"/>
      <c r="E233" s="112"/>
      <c r="F233" s="425"/>
      <c r="G233" s="426"/>
      <c r="H233" s="427"/>
      <c r="I233" s="427"/>
      <c r="J233" s="427"/>
      <c r="K233" s="428"/>
      <c r="L233" s="423"/>
      <c r="M233" s="423"/>
      <c r="N233" s="423"/>
      <c r="O233" s="424"/>
    </row>
    <row r="234" spans="1:23" s="416" customFormat="1" ht="24" customHeight="1">
      <c r="B234" s="112"/>
      <c r="C234" s="112"/>
      <c r="D234" s="112"/>
      <c r="E234" s="112"/>
      <c r="F234" s="425"/>
      <c r="G234" s="426"/>
      <c r="H234" s="427"/>
      <c r="I234" s="427"/>
      <c r="J234" s="427"/>
      <c r="K234" s="428"/>
      <c r="L234" s="423"/>
      <c r="M234" s="423"/>
      <c r="N234" s="423"/>
      <c r="O234" s="424"/>
    </row>
    <row r="235" spans="1:23" s="416" customFormat="1" ht="24" customHeight="1">
      <c r="B235" s="112"/>
      <c r="C235" s="112"/>
      <c r="D235" s="112"/>
      <c r="E235" s="112"/>
      <c r="F235" s="425"/>
      <c r="G235" s="426"/>
      <c r="H235" s="427"/>
      <c r="I235" s="427"/>
      <c r="J235" s="427"/>
      <c r="K235" s="428"/>
      <c r="L235" s="423"/>
      <c r="M235" s="423"/>
      <c r="N235" s="423"/>
      <c r="O235" s="424"/>
    </row>
    <row r="236" spans="1:23" s="429" customFormat="1" ht="24" customHeight="1">
      <c r="A236" s="416"/>
      <c r="B236" s="112"/>
      <c r="C236" s="112"/>
      <c r="D236" s="112"/>
      <c r="E236" s="112"/>
      <c r="F236" s="425"/>
      <c r="G236" s="426"/>
      <c r="H236" s="427"/>
      <c r="I236" s="427"/>
      <c r="J236" s="427"/>
      <c r="K236" s="428"/>
      <c r="L236" s="423"/>
      <c r="M236" s="423"/>
      <c r="N236" s="423"/>
      <c r="O236" s="424"/>
      <c r="P236" s="416"/>
      <c r="Q236" s="416"/>
      <c r="R236" s="416"/>
      <c r="S236" s="416"/>
      <c r="T236" s="416"/>
      <c r="U236" s="416"/>
      <c r="V236" s="416"/>
      <c r="W236" s="416"/>
    </row>
    <row r="237" spans="1:23" s="416" customFormat="1" ht="24" customHeight="1">
      <c r="B237" s="112"/>
      <c r="C237" s="112"/>
      <c r="D237" s="112"/>
      <c r="E237" s="112"/>
      <c r="F237" s="425"/>
      <c r="G237" s="426"/>
      <c r="H237" s="427"/>
      <c r="I237" s="427"/>
      <c r="J237" s="427"/>
      <c r="K237" s="428"/>
      <c r="L237" s="423"/>
      <c r="M237" s="423"/>
      <c r="N237" s="423"/>
      <c r="O237" s="424"/>
    </row>
    <row r="238" spans="1:23" s="416" customFormat="1" ht="24" customHeight="1">
      <c r="B238" s="112"/>
      <c r="C238" s="112"/>
      <c r="D238" s="112"/>
      <c r="E238" s="112"/>
      <c r="F238" s="425"/>
      <c r="G238" s="426"/>
      <c r="H238" s="427"/>
      <c r="I238" s="427"/>
      <c r="J238" s="427"/>
      <c r="K238" s="428"/>
      <c r="L238" s="423"/>
      <c r="M238" s="423"/>
      <c r="N238" s="423"/>
      <c r="O238" s="424"/>
    </row>
    <row r="239" spans="1:23" s="416" customFormat="1" ht="24" customHeight="1">
      <c r="B239" s="112"/>
      <c r="C239" s="112"/>
      <c r="D239" s="112"/>
      <c r="E239" s="112"/>
      <c r="F239" s="425"/>
      <c r="G239" s="426"/>
      <c r="H239" s="427"/>
      <c r="I239" s="427"/>
      <c r="J239" s="427"/>
      <c r="K239" s="428"/>
      <c r="L239" s="423"/>
      <c r="M239" s="423"/>
      <c r="N239" s="423"/>
      <c r="O239" s="424"/>
    </row>
    <row r="240" spans="1:23" s="416" customFormat="1" ht="24" customHeight="1">
      <c r="B240" s="112"/>
      <c r="C240" s="112"/>
      <c r="D240" s="112"/>
      <c r="E240" s="112"/>
      <c r="F240" s="425"/>
      <c r="G240" s="426"/>
      <c r="H240" s="427"/>
      <c r="I240" s="427"/>
      <c r="J240" s="427"/>
      <c r="K240" s="428"/>
      <c r="L240" s="423"/>
      <c r="M240" s="423"/>
      <c r="N240" s="423"/>
      <c r="O240" s="424"/>
    </row>
    <row r="241" spans="2:15" s="416" customFormat="1" ht="24" customHeight="1">
      <c r="B241" s="112"/>
      <c r="C241" s="112"/>
      <c r="D241" s="112"/>
      <c r="E241" s="112"/>
      <c r="F241" s="425"/>
      <c r="G241" s="426"/>
      <c r="H241" s="427"/>
      <c r="I241" s="427"/>
      <c r="J241" s="427"/>
      <c r="K241" s="428"/>
      <c r="L241" s="423"/>
      <c r="M241" s="423"/>
      <c r="N241" s="423"/>
      <c r="O241" s="424"/>
    </row>
    <row r="242" spans="2:15" s="416" customFormat="1" ht="24" customHeight="1">
      <c r="B242" s="112"/>
      <c r="C242" s="112"/>
      <c r="D242" s="112"/>
      <c r="E242" s="112"/>
      <c r="F242" s="425"/>
      <c r="G242" s="426"/>
      <c r="H242" s="427"/>
      <c r="I242" s="427"/>
      <c r="J242" s="427"/>
      <c r="K242" s="428"/>
      <c r="L242" s="423"/>
      <c r="M242" s="423"/>
      <c r="N242" s="423"/>
      <c r="O242" s="424"/>
    </row>
    <row r="243" spans="2:15" s="416" customFormat="1" ht="24" customHeight="1">
      <c r="B243" s="112"/>
      <c r="C243" s="112"/>
      <c r="D243" s="112"/>
      <c r="E243" s="112"/>
      <c r="F243" s="425"/>
      <c r="G243" s="426"/>
      <c r="H243" s="427"/>
      <c r="I243" s="427"/>
      <c r="J243" s="427"/>
      <c r="K243" s="428"/>
      <c r="L243" s="423"/>
      <c r="M243" s="423"/>
      <c r="N243" s="423"/>
      <c r="O243" s="424"/>
    </row>
    <row r="244" spans="2:15" s="416" customFormat="1" ht="24" customHeight="1">
      <c r="B244" s="112"/>
      <c r="C244" s="112"/>
      <c r="D244" s="112"/>
      <c r="E244" s="112"/>
      <c r="F244" s="425"/>
      <c r="G244" s="426"/>
      <c r="H244" s="427"/>
      <c r="I244" s="427"/>
      <c r="J244" s="427"/>
      <c r="K244" s="428"/>
      <c r="L244" s="423"/>
      <c r="M244" s="423"/>
      <c r="N244" s="423"/>
      <c r="O244" s="424"/>
    </row>
    <row r="245" spans="2:15" s="416" customFormat="1" ht="24" customHeight="1">
      <c r="B245" s="112"/>
      <c r="C245" s="112"/>
      <c r="D245" s="112"/>
      <c r="E245" s="112"/>
      <c r="F245" s="425"/>
      <c r="G245" s="426"/>
      <c r="H245" s="427"/>
      <c r="I245" s="427"/>
      <c r="J245" s="427"/>
      <c r="K245" s="428"/>
      <c r="L245" s="423"/>
      <c r="M245" s="423"/>
      <c r="N245" s="423"/>
      <c r="O245" s="424"/>
    </row>
    <row r="246" spans="2:15" s="416" customFormat="1" ht="24" customHeight="1">
      <c r="B246" s="112"/>
      <c r="C246" s="112"/>
      <c r="D246" s="112"/>
      <c r="E246" s="112"/>
      <c r="F246" s="425"/>
      <c r="G246" s="426"/>
      <c r="H246" s="427"/>
      <c r="I246" s="427"/>
      <c r="J246" s="427"/>
      <c r="K246" s="428"/>
      <c r="L246" s="423"/>
      <c r="M246" s="423"/>
      <c r="N246" s="423"/>
      <c r="O246" s="424"/>
    </row>
    <row r="247" spans="2:15" s="416" customFormat="1" ht="24" customHeight="1">
      <c r="B247" s="112"/>
      <c r="C247" s="112"/>
      <c r="D247" s="112"/>
      <c r="E247" s="112"/>
      <c r="F247" s="425"/>
      <c r="G247" s="426"/>
      <c r="H247" s="427"/>
      <c r="I247" s="427"/>
      <c r="J247" s="427"/>
      <c r="K247" s="428"/>
      <c r="L247" s="423"/>
      <c r="M247" s="423"/>
      <c r="N247" s="423"/>
      <c r="O247" s="424"/>
    </row>
    <row r="248" spans="2:15" s="416" customFormat="1" ht="24" customHeight="1">
      <c r="B248" s="112"/>
      <c r="C248" s="112"/>
      <c r="D248" s="112"/>
      <c r="E248" s="112"/>
      <c r="F248" s="425"/>
      <c r="G248" s="426"/>
      <c r="H248" s="427"/>
      <c r="I248" s="427"/>
      <c r="J248" s="427"/>
      <c r="K248" s="428"/>
      <c r="L248" s="423"/>
      <c r="M248" s="423"/>
      <c r="N248" s="423"/>
      <c r="O248" s="424"/>
    </row>
    <row r="249" spans="2:15" s="416" customFormat="1" ht="24" customHeight="1">
      <c r="B249" s="112"/>
      <c r="C249" s="112"/>
      <c r="D249" s="112"/>
      <c r="E249" s="112"/>
      <c r="F249" s="425"/>
      <c r="G249" s="426"/>
      <c r="H249" s="427"/>
      <c r="I249" s="427"/>
      <c r="J249" s="427"/>
      <c r="K249" s="428"/>
      <c r="L249" s="423"/>
      <c r="M249" s="423"/>
      <c r="N249" s="423"/>
      <c r="O249" s="424"/>
    </row>
    <row r="250" spans="2:15" s="416" customFormat="1" ht="24" customHeight="1">
      <c r="B250" s="112"/>
      <c r="C250" s="112"/>
      <c r="D250" s="112"/>
      <c r="E250" s="112"/>
      <c r="F250" s="425"/>
      <c r="G250" s="426"/>
      <c r="H250" s="427"/>
      <c r="I250" s="427"/>
      <c r="J250" s="427"/>
      <c r="K250" s="428"/>
      <c r="L250" s="423"/>
      <c r="M250" s="423"/>
      <c r="N250" s="423"/>
      <c r="O250" s="424"/>
    </row>
    <row r="251" spans="2:15" s="416" customFormat="1" ht="25.5" customHeight="1">
      <c r="B251" s="112"/>
      <c r="C251" s="112"/>
      <c r="D251" s="112"/>
      <c r="E251" s="112"/>
      <c r="F251" s="425"/>
      <c r="G251" s="426"/>
      <c r="H251" s="427"/>
      <c r="I251" s="427"/>
      <c r="J251" s="427"/>
      <c r="K251" s="428"/>
      <c r="L251" s="423"/>
      <c r="M251" s="423"/>
      <c r="N251" s="423"/>
      <c r="O251" s="424"/>
    </row>
    <row r="252" spans="2:15" s="416" customFormat="1" ht="25.5" customHeight="1">
      <c r="B252" s="112"/>
      <c r="C252" s="112"/>
      <c r="D252" s="112"/>
      <c r="E252" s="112"/>
      <c r="F252" s="425"/>
      <c r="G252" s="426"/>
      <c r="H252" s="427"/>
      <c r="I252" s="427"/>
      <c r="J252" s="427"/>
      <c r="K252" s="428"/>
      <c r="L252" s="423"/>
      <c r="M252" s="423"/>
      <c r="N252" s="423"/>
      <c r="O252" s="424"/>
    </row>
    <row r="253" spans="2:15" s="416" customFormat="1" ht="25.5" customHeight="1">
      <c r="B253" s="112"/>
      <c r="C253" s="112"/>
      <c r="D253" s="112"/>
      <c r="E253" s="112"/>
      <c r="F253" s="425"/>
      <c r="G253" s="426"/>
      <c r="H253" s="427"/>
      <c r="I253" s="427"/>
      <c r="J253" s="427"/>
      <c r="K253" s="428"/>
      <c r="L253" s="423"/>
      <c r="M253" s="423"/>
      <c r="N253" s="423"/>
      <c r="O253" s="424"/>
    </row>
    <row r="254" spans="2:15" s="416" customFormat="1" ht="25.5" customHeight="1">
      <c r="B254" s="112"/>
      <c r="C254" s="112"/>
      <c r="D254" s="112"/>
      <c r="E254" s="112"/>
      <c r="F254" s="425"/>
      <c r="G254" s="426"/>
      <c r="H254" s="427"/>
      <c r="I254" s="427"/>
      <c r="J254" s="427"/>
      <c r="K254" s="428"/>
      <c r="L254" s="423"/>
      <c r="M254" s="423"/>
      <c r="N254" s="423"/>
      <c r="O254" s="424"/>
    </row>
    <row r="255" spans="2:15" s="416" customFormat="1" ht="25.5" customHeight="1">
      <c r="B255" s="112"/>
      <c r="C255" s="112"/>
      <c r="D255" s="112"/>
      <c r="E255" s="112"/>
      <c r="F255" s="425"/>
      <c r="G255" s="426"/>
      <c r="H255" s="427"/>
      <c r="I255" s="427"/>
      <c r="J255" s="427"/>
      <c r="K255" s="428"/>
      <c r="L255" s="423"/>
      <c r="M255" s="423"/>
      <c r="N255" s="423"/>
      <c r="O255" s="424"/>
    </row>
    <row r="256" spans="2:15" s="416" customFormat="1" ht="25.5" customHeight="1">
      <c r="B256" s="118"/>
      <c r="C256" s="116"/>
      <c r="D256" s="116"/>
      <c r="E256" s="116"/>
      <c r="K256" s="430"/>
      <c r="M256" s="431"/>
      <c r="O256" s="424"/>
    </row>
    <row r="257" spans="2:15" s="416" customFormat="1" ht="25.5" customHeight="1">
      <c r="B257" s="118"/>
      <c r="C257" s="116"/>
      <c r="D257" s="116"/>
      <c r="E257" s="116"/>
      <c r="K257" s="430"/>
      <c r="M257" s="431"/>
      <c r="O257" s="424"/>
    </row>
    <row r="258" spans="2:15" s="416" customFormat="1" ht="25.5" customHeight="1">
      <c r="B258" s="118"/>
      <c r="C258" s="116"/>
      <c r="D258" s="116"/>
      <c r="E258" s="116"/>
      <c r="K258" s="430"/>
      <c r="M258" s="431"/>
      <c r="O258" s="424"/>
    </row>
    <row r="259" spans="2:15" s="416" customFormat="1" ht="25.5" customHeight="1">
      <c r="B259" s="118"/>
      <c r="C259" s="116"/>
      <c r="D259" s="116"/>
      <c r="E259" s="116"/>
      <c r="K259" s="430"/>
      <c r="M259" s="431"/>
      <c r="O259" s="424"/>
    </row>
    <row r="260" spans="2:15" s="416" customFormat="1" ht="25.5" customHeight="1">
      <c r="B260" s="118"/>
      <c r="C260" s="116"/>
      <c r="D260" s="116"/>
      <c r="E260" s="116"/>
      <c r="K260" s="430"/>
      <c r="M260" s="431"/>
      <c r="O260" s="424"/>
    </row>
    <row r="261" spans="2:15" s="416" customFormat="1" ht="25.5" customHeight="1">
      <c r="B261" s="118"/>
      <c r="C261" s="116"/>
      <c r="D261" s="116"/>
      <c r="E261" s="116"/>
      <c r="K261" s="430"/>
      <c r="M261" s="431"/>
      <c r="O261" s="424"/>
    </row>
    <row r="262" spans="2:15" s="416" customFormat="1" ht="25.5" customHeight="1">
      <c r="B262" s="118"/>
      <c r="C262" s="116"/>
      <c r="D262" s="116"/>
      <c r="E262" s="116"/>
      <c r="K262" s="430"/>
      <c r="M262" s="431"/>
      <c r="O262" s="424"/>
    </row>
    <row r="263" spans="2:15" s="416" customFormat="1" ht="25.5" customHeight="1">
      <c r="B263" s="118"/>
      <c r="C263" s="116"/>
      <c r="D263" s="116"/>
      <c r="E263" s="116"/>
      <c r="K263" s="430"/>
      <c r="M263" s="431"/>
      <c r="O263" s="424"/>
    </row>
    <row r="264" spans="2:15" s="416" customFormat="1" ht="25.5" customHeight="1">
      <c r="B264" s="118"/>
      <c r="C264" s="116"/>
      <c r="D264" s="116"/>
      <c r="E264" s="116"/>
      <c r="K264" s="430"/>
      <c r="M264" s="431"/>
      <c r="O264" s="424"/>
    </row>
    <row r="265" spans="2:15" s="416" customFormat="1" ht="25.5" customHeight="1">
      <c r="B265" s="118"/>
      <c r="C265" s="116"/>
      <c r="D265" s="116"/>
      <c r="E265" s="116"/>
      <c r="K265" s="430"/>
      <c r="M265" s="431"/>
      <c r="O265" s="424"/>
    </row>
    <row r="266" spans="2:15" s="416" customFormat="1" ht="25.5" customHeight="1">
      <c r="B266" s="118"/>
      <c r="C266" s="116"/>
      <c r="D266" s="116"/>
      <c r="E266" s="116"/>
      <c r="K266" s="430"/>
      <c r="M266" s="431"/>
      <c r="O266" s="424"/>
    </row>
    <row r="267" spans="2:15" s="416" customFormat="1" ht="25.5" customHeight="1">
      <c r="B267" s="118"/>
      <c r="C267" s="116"/>
      <c r="D267" s="116"/>
      <c r="E267" s="116"/>
      <c r="K267" s="430"/>
      <c r="M267" s="431"/>
      <c r="O267" s="424"/>
    </row>
    <row r="268" spans="2:15" s="416" customFormat="1" ht="25.5" customHeight="1">
      <c r="B268" s="118"/>
      <c r="C268" s="116"/>
      <c r="D268" s="116"/>
      <c r="E268" s="116"/>
      <c r="K268" s="430"/>
      <c r="M268" s="431"/>
      <c r="O268" s="424"/>
    </row>
    <row r="269" spans="2:15" s="416" customFormat="1" ht="25.5" customHeight="1">
      <c r="B269" s="118"/>
      <c r="C269" s="116"/>
      <c r="D269" s="116"/>
      <c r="E269" s="116"/>
      <c r="K269" s="430"/>
      <c r="M269" s="431"/>
      <c r="O269" s="424"/>
    </row>
    <row r="270" spans="2:15" s="416" customFormat="1" ht="25.5" customHeight="1">
      <c r="B270" s="118"/>
      <c r="C270" s="116"/>
      <c r="D270" s="116"/>
      <c r="E270" s="116"/>
      <c r="K270" s="430"/>
      <c r="M270" s="431"/>
      <c r="O270" s="424"/>
    </row>
    <row r="271" spans="2:15" s="416" customFormat="1" ht="25.5" customHeight="1">
      <c r="B271" s="118"/>
      <c r="C271" s="116"/>
      <c r="D271" s="116"/>
      <c r="E271" s="116"/>
      <c r="K271" s="430"/>
      <c r="M271" s="431"/>
      <c r="O271" s="424"/>
    </row>
    <row r="272" spans="2:15" s="416" customFormat="1" ht="25.5" customHeight="1">
      <c r="B272" s="118"/>
      <c r="C272" s="116"/>
      <c r="D272" s="116"/>
      <c r="E272" s="116"/>
      <c r="K272" s="430"/>
      <c r="M272" s="431"/>
      <c r="O272" s="424"/>
    </row>
    <row r="273" spans="2:15" s="416" customFormat="1" ht="25.5" customHeight="1">
      <c r="B273" s="118"/>
      <c r="C273" s="116"/>
      <c r="D273" s="116"/>
      <c r="E273" s="116"/>
      <c r="K273" s="430"/>
      <c r="M273" s="431"/>
      <c r="O273" s="424"/>
    </row>
    <row r="274" spans="2:15" s="416" customFormat="1" ht="25.5" customHeight="1">
      <c r="B274" s="118"/>
      <c r="C274" s="116"/>
      <c r="D274" s="116"/>
      <c r="E274" s="116"/>
      <c r="K274" s="430"/>
      <c r="M274" s="431"/>
      <c r="O274" s="424"/>
    </row>
    <row r="275" spans="2:15" s="416" customFormat="1" ht="25.5" customHeight="1">
      <c r="B275" s="118"/>
      <c r="C275" s="116"/>
      <c r="D275" s="116"/>
      <c r="E275" s="116"/>
      <c r="K275" s="430"/>
      <c r="M275" s="431"/>
      <c r="O275" s="424"/>
    </row>
    <row r="276" spans="2:15" s="416" customFormat="1" ht="25.5" customHeight="1">
      <c r="B276" s="118"/>
      <c r="C276" s="116"/>
      <c r="D276" s="116"/>
      <c r="E276" s="116"/>
      <c r="K276" s="430"/>
      <c r="M276" s="431"/>
      <c r="O276" s="424"/>
    </row>
    <row r="277" spans="2:15" s="416" customFormat="1" ht="25.5" customHeight="1">
      <c r="B277" s="118"/>
      <c r="C277" s="116"/>
      <c r="D277" s="116"/>
      <c r="E277" s="116"/>
      <c r="K277" s="430"/>
      <c r="M277" s="431"/>
      <c r="O277" s="424"/>
    </row>
    <row r="278" spans="2:15" s="416" customFormat="1" ht="25.5" customHeight="1">
      <c r="B278" s="118"/>
      <c r="C278" s="116"/>
      <c r="D278" s="116"/>
      <c r="E278" s="116"/>
      <c r="K278" s="430"/>
      <c r="M278" s="431"/>
      <c r="O278" s="424"/>
    </row>
    <row r="279" spans="2:15" s="416" customFormat="1" ht="25.5" customHeight="1">
      <c r="B279" s="118"/>
      <c r="C279" s="116"/>
      <c r="D279" s="116"/>
      <c r="E279" s="116"/>
      <c r="K279" s="430"/>
      <c r="M279" s="431"/>
      <c r="O279" s="424"/>
    </row>
    <row r="280" spans="2:15" s="416" customFormat="1" ht="25.5" customHeight="1">
      <c r="B280" s="118"/>
      <c r="C280" s="116"/>
      <c r="D280" s="116"/>
      <c r="E280" s="116"/>
      <c r="K280" s="430"/>
      <c r="M280" s="431"/>
      <c r="O280" s="424"/>
    </row>
    <row r="281" spans="2:15" s="416" customFormat="1" ht="25.5" customHeight="1">
      <c r="B281" s="118"/>
      <c r="C281" s="116"/>
      <c r="D281" s="116"/>
      <c r="E281" s="116"/>
      <c r="K281" s="430"/>
      <c r="M281" s="431"/>
      <c r="O281" s="424"/>
    </row>
    <row r="282" spans="2:15" s="416" customFormat="1" ht="25.5" customHeight="1">
      <c r="B282" s="118"/>
      <c r="C282" s="116"/>
      <c r="D282" s="116"/>
      <c r="E282" s="116"/>
      <c r="K282" s="430"/>
      <c r="M282" s="431"/>
      <c r="O282" s="424"/>
    </row>
    <row r="283" spans="2:15" s="416" customFormat="1" ht="25.5" customHeight="1">
      <c r="B283" s="118"/>
      <c r="C283" s="116"/>
      <c r="D283" s="116"/>
      <c r="E283" s="116"/>
      <c r="K283" s="430"/>
      <c r="M283" s="431"/>
      <c r="O283" s="424"/>
    </row>
    <row r="284" spans="2:15" s="416" customFormat="1" ht="25.5" customHeight="1">
      <c r="B284" s="118"/>
      <c r="C284" s="116"/>
      <c r="D284" s="116"/>
      <c r="E284" s="116"/>
      <c r="K284" s="430"/>
      <c r="M284" s="431"/>
      <c r="O284" s="424"/>
    </row>
    <row r="285" spans="2:15" s="416" customFormat="1" ht="25.5" customHeight="1">
      <c r="B285" s="118"/>
      <c r="C285" s="116"/>
      <c r="D285" s="116"/>
      <c r="E285" s="116"/>
      <c r="K285" s="430"/>
      <c r="M285" s="431"/>
      <c r="O285" s="424"/>
    </row>
    <row r="286" spans="2:15" s="416" customFormat="1" ht="25.5" customHeight="1">
      <c r="B286" s="118"/>
      <c r="C286" s="116"/>
      <c r="D286" s="116"/>
      <c r="E286" s="116"/>
      <c r="K286" s="430"/>
      <c r="M286" s="431"/>
      <c r="O286" s="424"/>
    </row>
    <row r="287" spans="2:15" s="416" customFormat="1" ht="25.5" customHeight="1">
      <c r="B287" s="118"/>
      <c r="C287" s="116"/>
      <c r="D287" s="116"/>
      <c r="E287" s="116"/>
      <c r="K287" s="430"/>
      <c r="M287" s="431"/>
      <c r="O287" s="424"/>
    </row>
    <row r="288" spans="2:15" s="416" customFormat="1" ht="25.5" customHeight="1">
      <c r="B288" s="118"/>
      <c r="C288" s="116"/>
      <c r="D288" s="116"/>
      <c r="E288" s="116"/>
      <c r="K288" s="430"/>
      <c r="M288" s="431"/>
      <c r="O288" s="424"/>
    </row>
    <row r="289" spans="2:15" s="416" customFormat="1" ht="25.5" customHeight="1">
      <c r="B289" s="118"/>
      <c r="C289" s="116"/>
      <c r="D289" s="116"/>
      <c r="E289" s="116"/>
      <c r="K289" s="430"/>
      <c r="M289" s="431"/>
      <c r="O289" s="424"/>
    </row>
    <row r="290" spans="2:15" s="416" customFormat="1" ht="25.5" customHeight="1">
      <c r="B290" s="118"/>
      <c r="C290" s="116"/>
      <c r="D290" s="116"/>
      <c r="E290" s="116"/>
      <c r="K290" s="430"/>
      <c r="M290" s="431"/>
      <c r="O290" s="424"/>
    </row>
    <row r="291" spans="2:15" s="416" customFormat="1" ht="25.5" customHeight="1">
      <c r="B291" s="118"/>
      <c r="C291" s="116"/>
      <c r="D291" s="116"/>
      <c r="E291" s="116"/>
      <c r="K291" s="430"/>
      <c r="M291" s="431"/>
      <c r="O291" s="424"/>
    </row>
    <row r="292" spans="2:15" s="416" customFormat="1" ht="25.5" customHeight="1">
      <c r="B292" s="118"/>
      <c r="C292" s="116"/>
      <c r="D292" s="116"/>
      <c r="E292" s="116"/>
      <c r="K292" s="430"/>
      <c r="M292" s="431"/>
      <c r="O292" s="424"/>
    </row>
    <row r="293" spans="2:15" s="416" customFormat="1" ht="25.5" customHeight="1">
      <c r="B293" s="118"/>
      <c r="C293" s="116"/>
      <c r="D293" s="116"/>
      <c r="E293" s="116"/>
      <c r="K293" s="430"/>
      <c r="M293" s="431"/>
      <c r="O293" s="424"/>
    </row>
    <row r="294" spans="2:15" s="416" customFormat="1" ht="25.5" customHeight="1">
      <c r="B294" s="118"/>
      <c r="C294" s="116"/>
      <c r="D294" s="116"/>
      <c r="E294" s="116"/>
      <c r="K294" s="430"/>
      <c r="M294" s="431"/>
      <c r="O294" s="424"/>
    </row>
    <row r="295" spans="2:15" s="416" customFormat="1" ht="25.5" customHeight="1">
      <c r="B295" s="118"/>
      <c r="C295" s="116"/>
      <c r="D295" s="116"/>
      <c r="E295" s="116"/>
      <c r="K295" s="430"/>
      <c r="M295" s="431"/>
      <c r="O295" s="424"/>
    </row>
    <row r="296" spans="2:15" s="416" customFormat="1" ht="25.5" customHeight="1">
      <c r="B296" s="118"/>
      <c r="C296" s="116"/>
      <c r="D296" s="116"/>
      <c r="E296" s="116"/>
      <c r="K296" s="430"/>
      <c r="M296" s="431"/>
      <c r="O296" s="424"/>
    </row>
    <row r="297" spans="2:15" s="416" customFormat="1" ht="25.5" customHeight="1">
      <c r="B297" s="118"/>
      <c r="C297" s="116"/>
      <c r="D297" s="116"/>
      <c r="E297" s="116"/>
      <c r="K297" s="430"/>
      <c r="M297" s="431"/>
      <c r="O297" s="424"/>
    </row>
    <row r="298" spans="2:15" s="416" customFormat="1" ht="25.5" customHeight="1">
      <c r="B298" s="118"/>
      <c r="C298" s="116"/>
      <c r="D298" s="116"/>
      <c r="E298" s="116"/>
      <c r="K298" s="430"/>
      <c r="M298" s="431"/>
      <c r="O298" s="424"/>
    </row>
    <row r="299" spans="2:15" s="416" customFormat="1" ht="25.5" customHeight="1">
      <c r="B299" s="118"/>
      <c r="C299" s="116"/>
      <c r="D299" s="116"/>
      <c r="E299" s="116"/>
      <c r="K299" s="430"/>
      <c r="M299" s="431"/>
      <c r="O299" s="424"/>
    </row>
    <row r="300" spans="2:15" s="416" customFormat="1" ht="25.5" customHeight="1">
      <c r="B300" s="118"/>
      <c r="C300" s="116"/>
      <c r="D300" s="116"/>
      <c r="E300" s="116"/>
      <c r="K300" s="430"/>
      <c r="M300" s="431"/>
      <c r="O300" s="424"/>
    </row>
    <row r="301" spans="2:15" s="416" customFormat="1" ht="25.5" customHeight="1">
      <c r="B301" s="118"/>
      <c r="C301" s="116"/>
      <c r="D301" s="116"/>
      <c r="E301" s="116"/>
      <c r="K301" s="430"/>
      <c r="M301" s="431"/>
      <c r="O301" s="424"/>
    </row>
    <row r="302" spans="2:15" s="416" customFormat="1" ht="25.5" customHeight="1">
      <c r="B302" s="118"/>
      <c r="C302" s="116"/>
      <c r="D302" s="116"/>
      <c r="E302" s="116"/>
      <c r="K302" s="430"/>
      <c r="M302" s="431"/>
      <c r="O302" s="424"/>
    </row>
    <row r="303" spans="2:15" s="416" customFormat="1" ht="25.5" customHeight="1">
      <c r="B303" s="118"/>
      <c r="C303" s="116"/>
      <c r="D303" s="116"/>
      <c r="E303" s="116"/>
      <c r="K303" s="430"/>
      <c r="M303" s="431"/>
      <c r="O303" s="424"/>
    </row>
    <row r="304" spans="2:15" s="416" customFormat="1" ht="25.5" customHeight="1">
      <c r="B304" s="115"/>
      <c r="C304" s="117"/>
      <c r="D304" s="117"/>
      <c r="E304" s="117"/>
      <c r="F304" s="424"/>
      <c r="G304" s="424"/>
      <c r="H304" s="424"/>
      <c r="I304" s="424"/>
      <c r="J304" s="424"/>
      <c r="K304" s="428"/>
      <c r="L304" s="424"/>
      <c r="M304" s="432"/>
      <c r="O304" s="424"/>
    </row>
    <row r="305" spans="2:15" s="416" customFormat="1" ht="25.5" customHeight="1">
      <c r="B305" s="118"/>
      <c r="C305" s="116"/>
      <c r="D305" s="116"/>
      <c r="E305" s="116"/>
      <c r="K305" s="430"/>
      <c r="M305" s="431"/>
      <c r="O305" s="424"/>
    </row>
    <row r="306" spans="2:15" s="416" customFormat="1" ht="25.5" customHeight="1">
      <c r="B306" s="118"/>
      <c r="C306" s="116"/>
      <c r="D306" s="116"/>
      <c r="E306" s="116"/>
      <c r="K306" s="430"/>
      <c r="M306" s="431"/>
      <c r="O306" s="424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3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3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3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3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3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3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3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3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3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3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3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3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3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3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3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3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3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3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3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3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3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3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3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3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3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3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3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3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3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3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3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3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3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3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3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3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3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3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3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3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3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3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3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3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3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3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3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3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3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3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3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3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3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3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3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3"/>
    </row>
  </sheetData>
  <sheetProtection algorithmName="SHA-512" hashValue="jTNKp4Agj7NUZqL9Z1VFLib6slBbro+xhBvaXO2bwmlbkTfHGgMtGCA2Ou2z8UudT8lOvkf70+d598BrMewmRA==" saltValue="wi7I35S/COxbk9cIPCzMeQ==" spinCount="100000" sheet="1" objects="1" scenarios="1" selectLockedCells="1"/>
  <mergeCells count="68">
    <mergeCell ref="F85:G85"/>
    <mergeCell ref="H85:I85"/>
    <mergeCell ref="B4:C4"/>
    <mergeCell ref="B15:G17"/>
    <mergeCell ref="B19:F19"/>
    <mergeCell ref="F84:G84"/>
    <mergeCell ref="H84:I84"/>
    <mergeCell ref="D98:E98"/>
    <mergeCell ref="F98:G98"/>
    <mergeCell ref="H98:I98"/>
    <mergeCell ref="J98:K98"/>
    <mergeCell ref="D99:E99"/>
    <mergeCell ref="F99:G99"/>
    <mergeCell ref="H99:I99"/>
    <mergeCell ref="J99:K99"/>
    <mergeCell ref="F86:G86"/>
    <mergeCell ref="H86:I86"/>
    <mergeCell ref="B91:G93"/>
    <mergeCell ref="B94:F94"/>
    <mergeCell ref="B95:F95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M166:N166"/>
    <mergeCell ref="F120:G120"/>
    <mergeCell ref="J120:K120"/>
    <mergeCell ref="F121:G121"/>
    <mergeCell ref="J121:K121"/>
    <mergeCell ref="F122:G122"/>
    <mergeCell ref="J122:K122"/>
    <mergeCell ref="B133:G135"/>
    <mergeCell ref="B136:F136"/>
    <mergeCell ref="B137:F137"/>
    <mergeCell ref="M164:N164"/>
    <mergeCell ref="M165:N165"/>
    <mergeCell ref="J222:M222"/>
    <mergeCell ref="M167:N167"/>
    <mergeCell ref="M168:N168"/>
    <mergeCell ref="M169:N169"/>
    <mergeCell ref="B173:G175"/>
    <mergeCell ref="B176:F176"/>
    <mergeCell ref="B177:F177"/>
    <mergeCell ref="B208:G210"/>
    <mergeCell ref="B211:F211"/>
    <mergeCell ref="B218:C218"/>
    <mergeCell ref="B219:C219"/>
    <mergeCell ref="B221:C221"/>
  </mergeCells>
  <conditionalFormatting sqref="M25:N35 M64:N66 M41:N41">
    <cfRule type="cellIs" dxfId="92" priority="37" operator="greaterThan">
      <formula>0</formula>
    </cfRule>
  </conditionalFormatting>
  <conditionalFormatting sqref="H120 H107 J85:J86 I25:K35 I68:K71">
    <cfRule type="cellIs" dxfId="91" priority="36" operator="greaterThan">
      <formula>0</formula>
    </cfRule>
  </conditionalFormatting>
  <conditionalFormatting sqref="J86">
    <cfRule type="cellIs" dxfId="90" priority="35" operator="greaterThan">
      <formula>0</formula>
    </cfRule>
  </conditionalFormatting>
  <conditionalFormatting sqref="J85">
    <cfRule type="cellIs" dxfId="89" priority="34" operator="greaterThan">
      <formula>0</formula>
    </cfRule>
  </conditionalFormatting>
  <conditionalFormatting sqref="H107">
    <cfRule type="cellIs" dxfId="88" priority="33" operator="greaterThan">
      <formula>0</formula>
    </cfRule>
  </conditionalFormatting>
  <conditionalFormatting sqref="I25:I35">
    <cfRule type="cellIs" dxfId="87" priority="32" operator="lessThan">
      <formula>$J25</formula>
    </cfRule>
  </conditionalFormatting>
  <conditionalFormatting sqref="H122 J122">
    <cfRule type="cellIs" dxfId="86" priority="31" operator="greaterThan">
      <formula>0</formula>
    </cfRule>
  </conditionalFormatting>
  <conditionalFormatting sqref="J122">
    <cfRule type="cellIs" dxfId="85" priority="30" operator="greaterThan">
      <formula>0</formula>
    </cfRule>
  </conditionalFormatting>
  <conditionalFormatting sqref="H121 J121">
    <cfRule type="cellIs" dxfId="84" priority="29" operator="greaterThan">
      <formula>0</formula>
    </cfRule>
  </conditionalFormatting>
  <conditionalFormatting sqref="J121">
    <cfRule type="cellIs" dxfId="83" priority="28" operator="greaterThan">
      <formula>0</formula>
    </cfRule>
  </conditionalFormatting>
  <conditionalFormatting sqref="M68:N68 M70:N70">
    <cfRule type="cellIs" dxfId="82" priority="24" operator="greaterThan">
      <formula>0</formula>
    </cfRule>
  </conditionalFormatting>
  <conditionalFormatting sqref="I68:K71">
    <cfRule type="cellIs" dxfId="81" priority="27" operator="lessThan">
      <formula>$J68</formula>
    </cfRule>
  </conditionalFormatting>
  <conditionalFormatting sqref="M69:N69 M71:N71">
    <cfRule type="cellIs" dxfId="80" priority="26" operator="greaterThan">
      <formula>0</formula>
    </cfRule>
  </conditionalFormatting>
  <conditionalFormatting sqref="M69:N69 M71:N71">
    <cfRule type="cellIs" dxfId="79" priority="25" operator="greaterThan">
      <formula>0</formula>
    </cfRule>
  </conditionalFormatting>
  <conditionalFormatting sqref="I77:J79">
    <cfRule type="cellIs" dxfId="78" priority="21" operator="greaterThan">
      <formula>0</formula>
    </cfRule>
  </conditionalFormatting>
  <conditionalFormatting sqref="M77:N78">
    <cfRule type="cellIs" dxfId="77" priority="22" operator="greaterThan">
      <formula>0</formula>
    </cfRule>
  </conditionalFormatting>
  <conditionalFormatting sqref="I77:J79">
    <cfRule type="cellIs" dxfId="76" priority="23" operator="lessThan">
      <formula>$J77</formula>
    </cfRule>
  </conditionalFormatting>
  <conditionalFormatting sqref="M79:N79">
    <cfRule type="cellIs" dxfId="75" priority="20" operator="greaterThan">
      <formula>0</formula>
    </cfRule>
  </conditionalFormatting>
  <conditionalFormatting sqref="K77:K79">
    <cfRule type="cellIs" dxfId="74" priority="19" operator="greaterThan">
      <formula>0</formula>
    </cfRule>
  </conditionalFormatting>
  <conditionalFormatting sqref="M44:N44 M46:N46 M48:N48 M50:N50 M52:N52 M54:N54 M56:N56 M58:N58 M60:N60">
    <cfRule type="cellIs" dxfId="73" priority="16" operator="greaterThan">
      <formula>0</formula>
    </cfRule>
  </conditionalFormatting>
  <conditionalFormatting sqref="M68:N68 M70:N70">
    <cfRule type="cellIs" dxfId="72" priority="9" operator="greaterThan">
      <formula>0</formula>
    </cfRule>
  </conditionalFormatting>
  <conditionalFormatting sqref="I43:K61">
    <cfRule type="cellIs" dxfId="71" priority="17" operator="greaterThan">
      <formula>0</formula>
    </cfRule>
  </conditionalFormatting>
  <conditionalFormatting sqref="M43:N43 M45:N45 M47:N47 M49:N49 M51:N51 M53:N53 M55:N55 M57:N57 M59:N59 M61:N61">
    <cfRule type="cellIs" dxfId="70" priority="15" operator="greaterThan">
      <formula>0</formula>
    </cfRule>
  </conditionalFormatting>
  <conditionalFormatting sqref="M44:N44 M46:N46 M48:N48 M50:N50 M52:N52 M54:N54 M56:N56 M58:N58 M60:N60">
    <cfRule type="cellIs" dxfId="69" priority="14" operator="greaterThan">
      <formula>0</formula>
    </cfRule>
  </conditionalFormatting>
  <conditionalFormatting sqref="M43:N43 M45:N45 M47:N47 M49:N49 M51:N51 M53:N53 M55:N55 M57:N57 M59:N59 M61:N61">
    <cfRule type="cellIs" dxfId="68" priority="13" operator="greaterThan">
      <formula>0</formula>
    </cfRule>
  </conditionalFormatting>
  <conditionalFormatting sqref="N43:N61">
    <cfRule type="cellIs" dxfId="67" priority="12" operator="greaterThan">
      <formula>0</formula>
    </cfRule>
  </conditionalFormatting>
  <conditionalFormatting sqref="I43:I61">
    <cfRule type="cellIs" dxfId="66" priority="18" operator="lessThan">
      <formula>$J43</formula>
    </cfRule>
  </conditionalFormatting>
  <conditionalFormatting sqref="M69:N69 M71:N71">
    <cfRule type="cellIs" dxfId="65" priority="11" operator="greaterThan">
      <formula>0</formula>
    </cfRule>
  </conditionalFormatting>
  <conditionalFormatting sqref="M68:N68 M70:N70">
    <cfRule type="cellIs" dxfId="64" priority="10" operator="greaterThan">
      <formula>0</formula>
    </cfRule>
  </conditionalFormatting>
  <conditionalFormatting sqref="M36:N37">
    <cfRule type="cellIs" dxfId="63" priority="8" operator="greaterThan">
      <formula>0</formula>
    </cfRule>
  </conditionalFormatting>
  <conditionalFormatting sqref="I36:K37">
    <cfRule type="cellIs" dxfId="62" priority="7" operator="greaterThan">
      <formula>0</formula>
    </cfRule>
  </conditionalFormatting>
  <conditionalFormatting sqref="I36:I37">
    <cfRule type="cellIs" dxfId="61" priority="6" operator="lessThan">
      <formula>$J36</formula>
    </cfRule>
  </conditionalFormatting>
  <conditionalFormatting sqref="M62:N62">
    <cfRule type="cellIs" dxfId="60" priority="3" operator="greaterThan">
      <formula>0</formula>
    </cfRule>
  </conditionalFormatting>
  <conditionalFormatting sqref="I62:K62">
    <cfRule type="cellIs" dxfId="59" priority="4" operator="greaterThan">
      <formula>0</formula>
    </cfRule>
  </conditionalFormatting>
  <conditionalFormatting sqref="M62:N62">
    <cfRule type="cellIs" dxfId="58" priority="2" operator="greaterThan">
      <formula>0</formula>
    </cfRule>
  </conditionalFormatting>
  <conditionalFormatting sqref="N62">
    <cfRule type="cellIs" dxfId="57" priority="1" operator="greaterThan">
      <formula>0</formula>
    </cfRule>
  </conditionalFormatting>
  <conditionalFormatting sqref="I62">
    <cfRule type="cellIs" dxfId="56" priority="5" operator="lessThan">
      <formula>$J62</formula>
    </cfRule>
  </conditionalFormatting>
  <hyperlinks>
    <hyperlink ref="B10:C10" r:id="rId1" display="    E-mail: sales@safespring.se" xr:uid="{8649450D-1A00-664A-A696-44083FCD9462}"/>
    <hyperlink ref="B10" r:id="rId2" xr:uid="{BA6ADEC5-189A-3E47-A1D7-427CDF7632E3}"/>
    <hyperlink ref="B215" r:id="rId3" tooltip="Skicka ett mail till Safespring." xr:uid="{B998BA44-8B47-D743-837D-25D19AA296F9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4" zoomScale="93" zoomScaleNormal="93" zoomScaleSheetLayoutView="100" workbookViewId="0">
      <selection activeCell="D3" sqref="D3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2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2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2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6"/>
      <c r="C4" s="666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334</v>
      </c>
      <c r="C5" s="566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6"/>
      <c r="C6" s="2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7"/>
      <c r="C7" s="2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2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2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8" t="s">
        <v>204</v>
      </c>
      <c r="C10" s="567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3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5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7" t="s">
        <v>5</v>
      </c>
      <c r="C15" s="627"/>
      <c r="D15" s="627"/>
      <c r="E15" s="627"/>
      <c r="F15" s="627"/>
      <c r="G15" s="627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7"/>
      <c r="C16" s="627"/>
      <c r="D16" s="627"/>
      <c r="E16" s="627"/>
      <c r="F16" s="627"/>
      <c r="G16" s="627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7"/>
      <c r="C17" s="627"/>
      <c r="D17" s="627"/>
      <c r="E17" s="627"/>
      <c r="F17" s="627"/>
      <c r="G17" s="627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215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9" t="s">
        <v>216</v>
      </c>
      <c r="C19" s="629"/>
      <c r="D19" s="629"/>
      <c r="E19" s="629"/>
      <c r="F19" s="629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568"/>
      <c r="D20" s="76"/>
      <c r="E20" s="76"/>
      <c r="F20" s="603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569"/>
      <c r="D21" s="140"/>
      <c r="E21" s="140"/>
      <c r="F21" s="603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569"/>
      <c r="D22" s="140"/>
      <c r="E22" s="140"/>
      <c r="F22" s="603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7" t="s">
        <v>218</v>
      </c>
      <c r="C23" s="11"/>
      <c r="D23" s="11"/>
      <c r="I23" s="168"/>
      <c r="M23" s="204"/>
      <c r="N23" s="204"/>
      <c r="O23" s="202"/>
      <c r="P23" s="205"/>
      <c r="Q23" s="543"/>
    </row>
    <row r="24" spans="2:29" s="210" customFormat="1" ht="52">
      <c r="B24" s="498" t="s">
        <v>219</v>
      </c>
      <c r="C24" s="570" t="s">
        <v>335</v>
      </c>
      <c r="D24" s="14" t="s">
        <v>11</v>
      </c>
      <c r="E24" s="14" t="s">
        <v>12</v>
      </c>
      <c r="F24" s="14" t="s">
        <v>220</v>
      </c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9" t="s">
        <v>21</v>
      </c>
      <c r="C25" s="571" t="s">
        <v>336</v>
      </c>
      <c r="D25" s="121">
        <v>1</v>
      </c>
      <c r="E25" s="121">
        <v>1</v>
      </c>
      <c r="F25" s="121">
        <v>40</v>
      </c>
      <c r="G25" s="215">
        <f t="shared" ref="G25:G35" si="0">H25/720</f>
        <v>0.51591666666666669</v>
      </c>
      <c r="H25" s="216">
        <f t="shared" ref="H25:H35" si="1">D25*IAAS_vcpu_sunet_b_m+E25*IAAS_ram_sunet_b_m+F25*IAAS_ssd_SUNET</f>
        <v>371.46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2">J25*D25*SW_win.ser.201X_SEK+K25*D25*SW_ms.sql.ser_SEK</f>
        <v>0</v>
      </c>
      <c r="P25" s="219"/>
      <c r="Q25" s="542"/>
      <c r="S25" s="545"/>
      <c r="U25" s="544"/>
    </row>
    <row r="26" spans="2:29" s="192" customFormat="1" ht="25.5" customHeight="1">
      <c r="B26" s="500" t="s">
        <v>22</v>
      </c>
      <c r="C26" s="572" t="s">
        <v>336</v>
      </c>
      <c r="D26" s="599">
        <v>1</v>
      </c>
      <c r="E26" s="599">
        <v>2</v>
      </c>
      <c r="F26" s="483">
        <v>40</v>
      </c>
      <c r="G26" s="221">
        <f t="shared" si="0"/>
        <v>0.62695833333333328</v>
      </c>
      <c r="H26" s="222">
        <f t="shared" si="1"/>
        <v>451.40999999999997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2"/>
        <v>0</v>
      </c>
      <c r="P26" s="219"/>
      <c r="Q26" s="542"/>
      <c r="S26" s="545"/>
      <c r="T26" s="544"/>
    </row>
    <row r="27" spans="2:29" s="192" customFormat="1" ht="25.5" customHeight="1">
      <c r="B27" s="499" t="s">
        <v>23</v>
      </c>
      <c r="C27" s="571" t="s">
        <v>336</v>
      </c>
      <c r="D27" s="121">
        <v>2</v>
      </c>
      <c r="E27" s="121">
        <v>4</v>
      </c>
      <c r="F27" s="121">
        <v>40</v>
      </c>
      <c r="G27" s="215">
        <f t="shared" si="0"/>
        <v>0.99424999999999986</v>
      </c>
      <c r="H27" s="216">
        <f t="shared" si="1"/>
        <v>715.8599999999999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2"/>
        <v>0</v>
      </c>
      <c r="O27" s="224"/>
      <c r="P27" s="219"/>
      <c r="Q27" s="542"/>
      <c r="S27" s="545"/>
      <c r="T27" s="544"/>
    </row>
    <row r="28" spans="2:29" s="192" customFormat="1" ht="25.5" customHeight="1">
      <c r="B28" s="500" t="s">
        <v>24</v>
      </c>
      <c r="C28" s="572" t="s">
        <v>336</v>
      </c>
      <c r="D28" s="599">
        <v>4</v>
      </c>
      <c r="E28" s="599">
        <v>8</v>
      </c>
      <c r="F28" s="483">
        <v>40</v>
      </c>
      <c r="G28" s="221">
        <f t="shared" si="0"/>
        <v>1.7288333333333332</v>
      </c>
      <c r="H28" s="222">
        <f t="shared" si="1"/>
        <v>1244.76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2"/>
        <v>0</v>
      </c>
      <c r="P28" s="219"/>
      <c r="Q28" s="542"/>
      <c r="S28" s="545"/>
      <c r="T28" s="544"/>
    </row>
    <row r="29" spans="2:29" s="192" customFormat="1" ht="25.5" customHeight="1">
      <c r="B29" s="499" t="s">
        <v>25</v>
      </c>
      <c r="C29" s="571" t="s">
        <v>336</v>
      </c>
      <c r="D29" s="121">
        <v>8</v>
      </c>
      <c r="E29" s="121">
        <v>16</v>
      </c>
      <c r="F29" s="121">
        <v>40</v>
      </c>
      <c r="G29" s="215">
        <f t="shared" si="0"/>
        <v>3.198</v>
      </c>
      <c r="H29" s="216">
        <f t="shared" si="1"/>
        <v>2302.56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2"/>
        <v>0</v>
      </c>
      <c r="P29" s="219"/>
      <c r="Q29" s="542"/>
      <c r="S29" s="545"/>
    </row>
    <row r="30" spans="2:29" s="192" customFormat="1" ht="25.5" customHeight="1">
      <c r="B30" s="500" t="s">
        <v>26</v>
      </c>
      <c r="C30" s="572" t="s">
        <v>336</v>
      </c>
      <c r="D30" s="599">
        <v>16</v>
      </c>
      <c r="E30" s="599">
        <v>32</v>
      </c>
      <c r="F30" s="483">
        <v>40</v>
      </c>
      <c r="G30" s="221">
        <f t="shared" si="0"/>
        <v>6.136333333333333</v>
      </c>
      <c r="H30" s="222">
        <f t="shared" si="1"/>
        <v>4418.16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2"/>
        <v>0</v>
      </c>
      <c r="P30" s="219"/>
      <c r="Q30" s="542"/>
      <c r="S30" s="545"/>
    </row>
    <row r="31" spans="2:29" s="192" customFormat="1" ht="25.5" customHeight="1">
      <c r="B31" s="499" t="s">
        <v>27</v>
      </c>
      <c r="C31" s="571" t="s">
        <v>336</v>
      </c>
      <c r="D31" s="121">
        <v>1</v>
      </c>
      <c r="E31" s="121">
        <v>4</v>
      </c>
      <c r="F31" s="121">
        <v>40</v>
      </c>
      <c r="G31" s="215">
        <f t="shared" si="0"/>
        <v>0.84904166666666658</v>
      </c>
      <c r="H31" s="216">
        <f t="shared" si="1"/>
        <v>611.30999999999995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2"/>
        <v>0</v>
      </c>
      <c r="P31" s="219"/>
      <c r="Q31" s="542"/>
    </row>
    <row r="32" spans="2:29" s="192" customFormat="1" ht="25.5" customHeight="1">
      <c r="B32" s="500" t="s">
        <v>28</v>
      </c>
      <c r="C32" s="572" t="s">
        <v>336</v>
      </c>
      <c r="D32" s="599">
        <v>2</v>
      </c>
      <c r="E32" s="599">
        <v>8</v>
      </c>
      <c r="F32" s="483">
        <v>40</v>
      </c>
      <c r="G32" s="221">
        <f t="shared" si="0"/>
        <v>1.4384166666666667</v>
      </c>
      <c r="H32" s="222">
        <f t="shared" si="1"/>
        <v>1035.6600000000001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2"/>
        <v>0</v>
      </c>
      <c r="P32" s="219"/>
      <c r="Q32" s="542"/>
    </row>
    <row r="33" spans="2:23" s="192" customFormat="1" ht="25.5" customHeight="1">
      <c r="B33" s="499" t="s">
        <v>29</v>
      </c>
      <c r="C33" s="571" t="s">
        <v>336</v>
      </c>
      <c r="D33" s="121">
        <v>4</v>
      </c>
      <c r="E33" s="121">
        <v>16</v>
      </c>
      <c r="F33" s="121">
        <v>40</v>
      </c>
      <c r="G33" s="215">
        <f t="shared" si="0"/>
        <v>2.6171666666666669</v>
      </c>
      <c r="H33" s="216">
        <f t="shared" si="1"/>
        <v>1884.3600000000001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2"/>
        <v>0</v>
      </c>
      <c r="P33" s="219"/>
      <c r="Q33" s="542"/>
    </row>
    <row r="34" spans="2:23" s="192" customFormat="1" ht="25.5" customHeight="1">
      <c r="B34" s="500" t="s">
        <v>30</v>
      </c>
      <c r="C34" s="572" t="s">
        <v>336</v>
      </c>
      <c r="D34" s="599">
        <v>8</v>
      </c>
      <c r="E34" s="599">
        <v>32</v>
      </c>
      <c r="F34" s="483">
        <v>40</v>
      </c>
      <c r="G34" s="221">
        <f t="shared" si="0"/>
        <v>4.9746666666666668</v>
      </c>
      <c r="H34" s="222">
        <f t="shared" si="1"/>
        <v>3581.76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2"/>
        <v>0</v>
      </c>
      <c r="P34" s="219"/>
      <c r="Q34" s="542"/>
      <c r="U34" s="200"/>
      <c r="V34" s="200"/>
      <c r="W34" s="200"/>
    </row>
    <row r="35" spans="2:23" s="192" customFormat="1" ht="25.5" customHeight="1">
      <c r="B35" s="499" t="s">
        <v>31</v>
      </c>
      <c r="C35" s="571" t="s">
        <v>336</v>
      </c>
      <c r="D35" s="121">
        <v>16</v>
      </c>
      <c r="E35" s="121">
        <v>65</v>
      </c>
      <c r="F35" s="121">
        <v>40</v>
      </c>
      <c r="G35" s="215">
        <f t="shared" si="0"/>
        <v>9.8007083333333345</v>
      </c>
      <c r="H35" s="216">
        <f t="shared" si="1"/>
        <v>7056.51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2"/>
        <v>0</v>
      </c>
      <c r="P35" s="219"/>
      <c r="U35" s="200"/>
      <c r="V35" s="200"/>
      <c r="W35" s="200"/>
    </row>
    <row r="36" spans="2:23" ht="25.5" customHeight="1">
      <c r="B36" s="501" t="s">
        <v>88</v>
      </c>
      <c r="C36" s="573"/>
      <c r="D36" s="89"/>
      <c r="E36" s="89"/>
      <c r="F36" s="225"/>
      <c r="G36" s="226"/>
      <c r="H36" s="227"/>
      <c r="I36" s="300" t="str">
        <f>SUM(I25:I35)&amp;" st"</f>
        <v>0 st</v>
      </c>
      <c r="J36" s="300" t="str">
        <f>SUM(J25:J35)&amp;" st"</f>
        <v>0 st</v>
      </c>
      <c r="K36" s="300" t="str">
        <f>SUM(K25:K35)&amp;" st"</f>
        <v>0 st</v>
      </c>
      <c r="L36" s="163"/>
      <c r="M36" s="622">
        <f>SUM(M25:M35)</f>
        <v>0</v>
      </c>
      <c r="N36" s="90">
        <f>SUM(N25:N35)</f>
        <v>0</v>
      </c>
      <c r="O36" s="202"/>
      <c r="P36" s="205"/>
      <c r="U36" s="200"/>
      <c r="V36" s="200"/>
      <c r="W36" s="228"/>
    </row>
    <row r="37" spans="2:23" ht="25.5" customHeight="1">
      <c r="B37" s="502"/>
      <c r="C37" s="574"/>
      <c r="D37" s="21"/>
      <c r="E37" s="21"/>
      <c r="F37" s="229"/>
      <c r="G37" s="230"/>
      <c r="H37" s="231"/>
      <c r="I37" s="50"/>
      <c r="J37" s="50"/>
      <c r="K37" s="50"/>
      <c r="L37" s="232"/>
      <c r="M37" s="50"/>
      <c r="N37" s="51"/>
      <c r="O37" s="202"/>
      <c r="P37" s="205"/>
      <c r="U37" s="200"/>
      <c r="V37" s="200"/>
      <c r="W37" s="228"/>
    </row>
    <row r="38" spans="2:23" ht="25.5" customHeight="1">
      <c r="B38" s="502"/>
      <c r="C38" s="574"/>
      <c r="D38" s="21"/>
      <c r="E38" s="21"/>
      <c r="F38" s="229"/>
      <c r="G38" s="230"/>
      <c r="H38" s="231"/>
      <c r="I38" s="50"/>
      <c r="J38" s="50"/>
      <c r="K38" s="50"/>
      <c r="L38" s="232"/>
      <c r="M38" s="50"/>
      <c r="N38" s="51"/>
      <c r="O38" s="202"/>
      <c r="P38" s="205"/>
      <c r="U38" s="200"/>
      <c r="V38" s="200"/>
      <c r="W38" s="228"/>
    </row>
    <row r="39" spans="2:23" s="237" customFormat="1" ht="31">
      <c r="B39" s="460" t="s">
        <v>228</v>
      </c>
      <c r="C39" s="111"/>
      <c r="D39" s="111"/>
      <c r="E39" s="111"/>
      <c r="F39" s="233"/>
      <c r="G39" s="233"/>
      <c r="H39" s="234"/>
      <c r="I39" s="235"/>
      <c r="J39" s="235"/>
      <c r="K39" s="235"/>
      <c r="L39" s="235"/>
      <c r="M39" s="236"/>
      <c r="N39" s="236"/>
      <c r="P39" s="238"/>
      <c r="U39" s="239"/>
      <c r="V39" s="239"/>
      <c r="W39" s="240"/>
    </row>
    <row r="40" spans="2:23" s="241" customFormat="1" ht="52">
      <c r="B40" s="498" t="s">
        <v>219</v>
      </c>
      <c r="C40" s="570" t="s">
        <v>335</v>
      </c>
      <c r="D40" s="14" t="s">
        <v>11</v>
      </c>
      <c r="E40" s="14" t="s">
        <v>12</v>
      </c>
      <c r="F40" s="14" t="s">
        <v>220</v>
      </c>
      <c r="G40" s="207" t="s">
        <v>221</v>
      </c>
      <c r="H40" s="207" t="s">
        <v>222</v>
      </c>
      <c r="I40" s="208" t="s">
        <v>223</v>
      </c>
      <c r="J40" s="208" t="s">
        <v>224</v>
      </c>
      <c r="K40" s="208" t="s">
        <v>225</v>
      </c>
      <c r="L40" s="209"/>
      <c r="M40" s="207" t="s">
        <v>226</v>
      </c>
      <c r="N40" s="207" t="s">
        <v>227</v>
      </c>
      <c r="P40" s="205"/>
      <c r="Q40" s="202"/>
      <c r="R40" s="202"/>
      <c r="S40" s="202"/>
      <c r="T40" s="202"/>
      <c r="U40" s="200"/>
      <c r="V40" s="200"/>
      <c r="W40" s="228"/>
    </row>
    <row r="41" spans="2:23" s="192" customFormat="1" ht="25.5" customHeight="1">
      <c r="B41" s="504" t="s">
        <v>35</v>
      </c>
      <c r="C41" s="575" t="s">
        <v>336</v>
      </c>
      <c r="D41" s="596">
        <v>1</v>
      </c>
      <c r="E41" s="596">
        <v>1</v>
      </c>
      <c r="F41" s="101">
        <v>10</v>
      </c>
      <c r="G41" s="247">
        <f>H41/720</f>
        <v>0.24770833333333336</v>
      </c>
      <c r="H41" s="248">
        <f t="shared" ref="H41:H59" si="4">D41*IAAS_vcpu_SUNET+E41*IAAS_ram_SUNET+F41*IAAS_nvme_SUNET</f>
        <v>178.35000000000002</v>
      </c>
      <c r="I41" s="217"/>
      <c r="J41" s="217"/>
      <c r="K41" s="217"/>
      <c r="L41" s="249" t="s">
        <v>62</v>
      </c>
      <c r="M41" s="218">
        <f t="shared" ref="M41:M59" si="5">ROUNDUP(I41*H41,2)</f>
        <v>0</v>
      </c>
      <c r="N41" s="218">
        <f t="shared" ref="N41:N59" si="6">J41*D41*SW_win.ser.201X_SEK+K41*D41*SW_ms.sql.ser_SEK</f>
        <v>0</v>
      </c>
      <c r="P41" s="219"/>
      <c r="U41" s="200"/>
      <c r="W41" s="200"/>
    </row>
    <row r="42" spans="2:23" s="192" customFormat="1" ht="25.5" customHeight="1">
      <c r="B42" s="505" t="s">
        <v>36</v>
      </c>
      <c r="C42" s="576" t="s">
        <v>336</v>
      </c>
      <c r="D42" s="598">
        <v>4</v>
      </c>
      <c r="E42" s="598">
        <v>8</v>
      </c>
      <c r="F42" s="120">
        <v>250</v>
      </c>
      <c r="G42" s="243">
        <f t="shared" ref="G42:G59" si="7">H42/720</f>
        <v>1.7254166666666668</v>
      </c>
      <c r="H42" s="244">
        <f t="shared" si="4"/>
        <v>1242.3000000000002</v>
      </c>
      <c r="I42" s="217"/>
      <c r="J42" s="217"/>
      <c r="K42" s="217"/>
      <c r="L42" s="251" t="s">
        <v>62</v>
      </c>
      <c r="M42" s="223">
        <f t="shared" si="5"/>
        <v>0</v>
      </c>
      <c r="N42" s="223">
        <f t="shared" si="6"/>
        <v>0</v>
      </c>
      <c r="P42" s="219"/>
      <c r="U42" s="200"/>
      <c r="W42" s="200"/>
    </row>
    <row r="43" spans="2:23" s="192" customFormat="1" ht="25.5" customHeight="1">
      <c r="B43" s="504" t="s">
        <v>37</v>
      </c>
      <c r="C43" s="575" t="s">
        <v>336</v>
      </c>
      <c r="D43" s="596">
        <v>8</v>
      </c>
      <c r="E43" s="596">
        <v>16</v>
      </c>
      <c r="F43" s="101">
        <v>250</v>
      </c>
      <c r="G43" s="247">
        <f t="shared" si="7"/>
        <v>3.0237500000000006</v>
      </c>
      <c r="H43" s="248">
        <f t="shared" si="4"/>
        <v>2177.1000000000004</v>
      </c>
      <c r="I43" s="217"/>
      <c r="J43" s="217"/>
      <c r="K43" s="217"/>
      <c r="L43" s="249" t="s">
        <v>62</v>
      </c>
      <c r="M43" s="218">
        <f t="shared" si="5"/>
        <v>0</v>
      </c>
      <c r="N43" s="218">
        <f t="shared" si="6"/>
        <v>0</v>
      </c>
      <c r="P43" s="219"/>
      <c r="U43" s="200"/>
      <c r="W43" s="200"/>
    </row>
    <row r="44" spans="2:23" s="192" customFormat="1" ht="25.5" customHeight="1">
      <c r="B44" s="505" t="s">
        <v>38</v>
      </c>
      <c r="C44" s="576" t="s">
        <v>336</v>
      </c>
      <c r="D44" s="598">
        <v>16</v>
      </c>
      <c r="E44" s="598">
        <v>32</v>
      </c>
      <c r="F44" s="120">
        <v>250</v>
      </c>
      <c r="G44" s="243">
        <f t="shared" si="7"/>
        <v>5.6204166666666673</v>
      </c>
      <c r="H44" s="244">
        <f t="shared" si="4"/>
        <v>4046.7000000000003</v>
      </c>
      <c r="I44" s="217"/>
      <c r="J44" s="217"/>
      <c r="K44" s="217"/>
      <c r="L44" s="251" t="s">
        <v>62</v>
      </c>
      <c r="M44" s="223">
        <f t="shared" si="5"/>
        <v>0</v>
      </c>
      <c r="N44" s="223">
        <f t="shared" si="6"/>
        <v>0</v>
      </c>
      <c r="P44" s="219"/>
      <c r="U44" s="200"/>
      <c r="W44" s="200"/>
    </row>
    <row r="45" spans="2:23" s="192" customFormat="1" ht="25.5" customHeight="1">
      <c r="B45" s="504" t="s">
        <v>39</v>
      </c>
      <c r="C45" s="575" t="s">
        <v>336</v>
      </c>
      <c r="D45" s="596">
        <v>16</v>
      </c>
      <c r="E45" s="596">
        <v>32</v>
      </c>
      <c r="F45" s="101">
        <v>500</v>
      </c>
      <c r="G45" s="247">
        <f t="shared" si="7"/>
        <v>6.0475000000000012</v>
      </c>
      <c r="H45" s="248">
        <f t="shared" si="4"/>
        <v>4354.2000000000007</v>
      </c>
      <c r="I45" s="217"/>
      <c r="J45" s="217"/>
      <c r="K45" s="217"/>
      <c r="L45" s="249" t="s">
        <v>62</v>
      </c>
      <c r="M45" s="218">
        <f t="shared" si="5"/>
        <v>0</v>
      </c>
      <c r="N45" s="218">
        <f t="shared" si="6"/>
        <v>0</v>
      </c>
      <c r="P45" s="219"/>
      <c r="U45" s="200"/>
      <c r="W45" s="200"/>
    </row>
    <row r="46" spans="2:23" s="192" customFormat="1" ht="25.5" customHeight="1">
      <c r="B46" s="505" t="s">
        <v>40</v>
      </c>
      <c r="C46" s="576" t="s">
        <v>336</v>
      </c>
      <c r="D46" s="598">
        <v>16</v>
      </c>
      <c r="E46" s="598">
        <v>32</v>
      </c>
      <c r="F46" s="120">
        <v>1000</v>
      </c>
      <c r="G46" s="243">
        <f t="shared" si="7"/>
        <v>6.9016666666666673</v>
      </c>
      <c r="H46" s="244">
        <f t="shared" si="4"/>
        <v>4969.2000000000007</v>
      </c>
      <c r="I46" s="217"/>
      <c r="J46" s="217"/>
      <c r="K46" s="217"/>
      <c r="L46" s="251" t="s">
        <v>62</v>
      </c>
      <c r="M46" s="223">
        <f t="shared" si="5"/>
        <v>0</v>
      </c>
      <c r="N46" s="223">
        <f t="shared" si="6"/>
        <v>0</v>
      </c>
      <c r="P46" s="219"/>
      <c r="U46" s="200"/>
      <c r="W46" s="200"/>
    </row>
    <row r="47" spans="2:23" s="192" customFormat="1" ht="25.5" customHeight="1">
      <c r="B47" s="504" t="s">
        <v>41</v>
      </c>
      <c r="C47" s="575" t="s">
        <v>336</v>
      </c>
      <c r="D47" s="596">
        <v>32</v>
      </c>
      <c r="E47" s="596">
        <v>65</v>
      </c>
      <c r="F47" s="101">
        <v>250</v>
      </c>
      <c r="G47" s="247">
        <f t="shared" si="7"/>
        <v>10.907708333333334</v>
      </c>
      <c r="H47" s="248">
        <f t="shared" si="4"/>
        <v>7853.55</v>
      </c>
      <c r="I47" s="217"/>
      <c r="J47" s="217"/>
      <c r="K47" s="217"/>
      <c r="L47" s="249" t="s">
        <v>62</v>
      </c>
      <c r="M47" s="218">
        <f t="shared" si="5"/>
        <v>0</v>
      </c>
      <c r="N47" s="218">
        <f t="shared" si="6"/>
        <v>0</v>
      </c>
      <c r="P47" s="219"/>
      <c r="U47" s="200"/>
      <c r="W47" s="200"/>
    </row>
    <row r="48" spans="2:23" s="192" customFormat="1" ht="25.5" customHeight="1">
      <c r="B48" s="505" t="s">
        <v>42</v>
      </c>
      <c r="C48" s="576" t="s">
        <v>336</v>
      </c>
      <c r="D48" s="598">
        <v>32</v>
      </c>
      <c r="E48" s="598">
        <v>65</v>
      </c>
      <c r="F48" s="120">
        <v>500</v>
      </c>
      <c r="G48" s="243">
        <f t="shared" si="7"/>
        <v>11.334791666666668</v>
      </c>
      <c r="H48" s="244">
        <f t="shared" si="4"/>
        <v>8161.05</v>
      </c>
      <c r="I48" s="217"/>
      <c r="J48" s="217"/>
      <c r="K48" s="217"/>
      <c r="L48" s="251" t="s">
        <v>62</v>
      </c>
      <c r="M48" s="223">
        <f t="shared" si="5"/>
        <v>0</v>
      </c>
      <c r="N48" s="223">
        <f t="shared" si="6"/>
        <v>0</v>
      </c>
      <c r="P48" s="219"/>
      <c r="U48" s="200"/>
      <c r="W48" s="200"/>
    </row>
    <row r="49" spans="2:24" s="192" customFormat="1" ht="25.5" customHeight="1">
      <c r="B49" s="504" t="s">
        <v>43</v>
      </c>
      <c r="C49" s="575" t="s">
        <v>336</v>
      </c>
      <c r="D49" s="596">
        <v>32</v>
      </c>
      <c r="E49" s="596">
        <v>65</v>
      </c>
      <c r="F49" s="101">
        <v>1000</v>
      </c>
      <c r="G49" s="247">
        <f t="shared" si="7"/>
        <v>12.188958333333332</v>
      </c>
      <c r="H49" s="248">
        <f t="shared" si="4"/>
        <v>8776.0499999999993</v>
      </c>
      <c r="I49" s="217"/>
      <c r="J49" s="217"/>
      <c r="K49" s="217"/>
      <c r="L49" s="249" t="s">
        <v>62</v>
      </c>
      <c r="M49" s="218">
        <f t="shared" si="5"/>
        <v>0</v>
      </c>
      <c r="N49" s="218">
        <f t="shared" si="6"/>
        <v>0</v>
      </c>
      <c r="P49" s="219"/>
      <c r="U49" s="200"/>
      <c r="W49" s="200"/>
    </row>
    <row r="50" spans="2:24" s="192" customFormat="1" ht="25.5" customHeight="1">
      <c r="B50" s="505" t="s">
        <v>44</v>
      </c>
      <c r="C50" s="576" t="s">
        <v>336</v>
      </c>
      <c r="D50" s="598">
        <v>4</v>
      </c>
      <c r="E50" s="598">
        <v>16</v>
      </c>
      <c r="F50" s="120">
        <v>250</v>
      </c>
      <c r="G50" s="243">
        <f t="shared" si="7"/>
        <v>2.4770833333333333</v>
      </c>
      <c r="H50" s="244">
        <f t="shared" si="4"/>
        <v>1783.5</v>
      </c>
      <c r="I50" s="217"/>
      <c r="J50" s="217"/>
      <c r="K50" s="217"/>
      <c r="L50" s="251" t="s">
        <v>62</v>
      </c>
      <c r="M50" s="223">
        <f t="shared" si="5"/>
        <v>0</v>
      </c>
      <c r="N50" s="223">
        <f t="shared" si="6"/>
        <v>0</v>
      </c>
      <c r="P50" s="219"/>
      <c r="U50" s="200"/>
      <c r="W50" s="200"/>
    </row>
    <row r="51" spans="2:24" s="192" customFormat="1" ht="25.5" customHeight="1">
      <c r="B51" s="504" t="s">
        <v>45</v>
      </c>
      <c r="C51" s="575" t="s">
        <v>336</v>
      </c>
      <c r="D51" s="596">
        <v>8</v>
      </c>
      <c r="E51" s="596">
        <v>32</v>
      </c>
      <c r="F51" s="101">
        <v>250</v>
      </c>
      <c r="G51" s="247">
        <f t="shared" si="7"/>
        <v>4.5270833333333336</v>
      </c>
      <c r="H51" s="248">
        <f t="shared" si="4"/>
        <v>3259.5</v>
      </c>
      <c r="I51" s="217"/>
      <c r="J51" s="217"/>
      <c r="K51" s="217"/>
      <c r="L51" s="249" t="s">
        <v>62</v>
      </c>
      <c r="M51" s="218">
        <f t="shared" si="5"/>
        <v>0</v>
      </c>
      <c r="N51" s="218">
        <f t="shared" si="6"/>
        <v>0</v>
      </c>
      <c r="P51" s="219"/>
      <c r="U51" s="200"/>
      <c r="W51" s="200"/>
    </row>
    <row r="52" spans="2:24" s="192" customFormat="1" ht="25.5" customHeight="1">
      <c r="B52" s="505" t="s">
        <v>46</v>
      </c>
      <c r="C52" s="576" t="s">
        <v>336</v>
      </c>
      <c r="D52" s="598">
        <v>8</v>
      </c>
      <c r="E52" s="598">
        <v>32</v>
      </c>
      <c r="F52" s="120">
        <v>500</v>
      </c>
      <c r="G52" s="243">
        <f t="shared" si="7"/>
        <v>4.9541666666666666</v>
      </c>
      <c r="H52" s="244">
        <f t="shared" si="4"/>
        <v>3567</v>
      </c>
      <c r="I52" s="217"/>
      <c r="J52" s="217"/>
      <c r="K52" s="217"/>
      <c r="L52" s="251" t="s">
        <v>62</v>
      </c>
      <c r="M52" s="223">
        <f t="shared" si="5"/>
        <v>0</v>
      </c>
      <c r="N52" s="223">
        <f t="shared" si="6"/>
        <v>0</v>
      </c>
      <c r="P52" s="219"/>
      <c r="U52" s="200"/>
      <c r="W52" s="200"/>
    </row>
    <row r="53" spans="2:24" s="192" customFormat="1" ht="25.5" customHeight="1">
      <c r="B53" s="504" t="s">
        <v>47</v>
      </c>
      <c r="C53" s="575" t="s">
        <v>336</v>
      </c>
      <c r="D53" s="596">
        <v>8</v>
      </c>
      <c r="E53" s="596">
        <v>32</v>
      </c>
      <c r="F53" s="101">
        <v>1000</v>
      </c>
      <c r="G53" s="247">
        <f t="shared" si="7"/>
        <v>5.8083333333333336</v>
      </c>
      <c r="H53" s="248">
        <f t="shared" si="4"/>
        <v>4182</v>
      </c>
      <c r="I53" s="217"/>
      <c r="J53" s="217"/>
      <c r="K53" s="217"/>
      <c r="L53" s="249" t="s">
        <v>62</v>
      </c>
      <c r="M53" s="218">
        <f t="shared" si="5"/>
        <v>0</v>
      </c>
      <c r="N53" s="218">
        <f t="shared" si="6"/>
        <v>0</v>
      </c>
      <c r="P53" s="219"/>
      <c r="U53" s="200"/>
      <c r="W53" s="200"/>
    </row>
    <row r="54" spans="2:24" s="192" customFormat="1" ht="25.5" customHeight="1">
      <c r="B54" s="505" t="s">
        <v>48</v>
      </c>
      <c r="C54" s="576" t="s">
        <v>336</v>
      </c>
      <c r="D54" s="598">
        <v>16</v>
      </c>
      <c r="E54" s="598">
        <v>65</v>
      </c>
      <c r="F54" s="120">
        <v>250</v>
      </c>
      <c r="G54" s="243">
        <f t="shared" si="7"/>
        <v>8.7210416666666664</v>
      </c>
      <c r="H54" s="244">
        <f t="shared" si="4"/>
        <v>6279.15</v>
      </c>
      <c r="I54" s="217"/>
      <c r="J54" s="217"/>
      <c r="K54" s="217"/>
      <c r="L54" s="251" t="s">
        <v>62</v>
      </c>
      <c r="M54" s="223">
        <f t="shared" si="5"/>
        <v>0</v>
      </c>
      <c r="N54" s="223">
        <f t="shared" si="6"/>
        <v>0</v>
      </c>
      <c r="P54" s="219"/>
      <c r="U54" s="200"/>
      <c r="W54" s="200"/>
    </row>
    <row r="55" spans="2:24" s="192" customFormat="1" ht="25.5" customHeight="1">
      <c r="B55" s="504" t="s">
        <v>49</v>
      </c>
      <c r="C55" s="575" t="s">
        <v>336</v>
      </c>
      <c r="D55" s="596">
        <v>16</v>
      </c>
      <c r="E55" s="596">
        <v>65</v>
      </c>
      <c r="F55" s="101">
        <v>500</v>
      </c>
      <c r="G55" s="247">
        <f t="shared" si="7"/>
        <v>9.1481250000000003</v>
      </c>
      <c r="H55" s="248">
        <f t="shared" si="4"/>
        <v>6586.65</v>
      </c>
      <c r="I55" s="217"/>
      <c r="J55" s="217"/>
      <c r="K55" s="217"/>
      <c r="L55" s="249" t="s">
        <v>62</v>
      </c>
      <c r="M55" s="218">
        <f t="shared" si="5"/>
        <v>0</v>
      </c>
      <c r="N55" s="218">
        <f t="shared" si="6"/>
        <v>0</v>
      </c>
      <c r="P55" s="219"/>
      <c r="U55" s="200"/>
      <c r="W55" s="200"/>
    </row>
    <row r="56" spans="2:24" s="192" customFormat="1" ht="25.5" customHeight="1">
      <c r="B56" s="505" t="s">
        <v>50</v>
      </c>
      <c r="C56" s="576" t="s">
        <v>336</v>
      </c>
      <c r="D56" s="598">
        <v>16</v>
      </c>
      <c r="E56" s="598">
        <v>65</v>
      </c>
      <c r="F56" s="120">
        <v>1000</v>
      </c>
      <c r="G56" s="243">
        <f t="shared" si="7"/>
        <v>10.002291666666666</v>
      </c>
      <c r="H56" s="244">
        <f t="shared" si="4"/>
        <v>7201.65</v>
      </c>
      <c r="I56" s="217"/>
      <c r="J56" s="217"/>
      <c r="K56" s="217"/>
      <c r="L56" s="251" t="s">
        <v>62</v>
      </c>
      <c r="M56" s="223">
        <f t="shared" si="5"/>
        <v>0</v>
      </c>
      <c r="N56" s="223">
        <f t="shared" si="6"/>
        <v>0</v>
      </c>
      <c r="P56" s="219"/>
      <c r="U56" s="200"/>
      <c r="W56" s="200"/>
    </row>
    <row r="57" spans="2:24" s="192" customFormat="1" ht="25.5" customHeight="1">
      <c r="B57" s="504" t="s">
        <v>51</v>
      </c>
      <c r="C57" s="575" t="s">
        <v>336</v>
      </c>
      <c r="D57" s="596">
        <v>32</v>
      </c>
      <c r="E57" s="596">
        <v>131</v>
      </c>
      <c r="F57" s="101">
        <v>250</v>
      </c>
      <c r="G57" s="247">
        <f t="shared" si="7"/>
        <v>17.108958333333334</v>
      </c>
      <c r="H57" s="248">
        <f t="shared" si="4"/>
        <v>12318.45</v>
      </c>
      <c r="I57" s="217"/>
      <c r="J57" s="217"/>
      <c r="K57" s="217"/>
      <c r="L57" s="249" t="s">
        <v>62</v>
      </c>
      <c r="M57" s="218">
        <f t="shared" si="5"/>
        <v>0</v>
      </c>
      <c r="N57" s="218">
        <f t="shared" si="6"/>
        <v>0</v>
      </c>
      <c r="P57" s="219"/>
      <c r="U57" s="200"/>
      <c r="W57" s="200"/>
    </row>
    <row r="58" spans="2:24" s="192" customFormat="1" ht="25.5" customHeight="1">
      <c r="B58" s="505" t="s">
        <v>52</v>
      </c>
      <c r="C58" s="576" t="s">
        <v>336</v>
      </c>
      <c r="D58" s="598">
        <v>32</v>
      </c>
      <c r="E58" s="598">
        <v>131</v>
      </c>
      <c r="F58" s="120">
        <v>500</v>
      </c>
      <c r="G58" s="243">
        <f t="shared" si="7"/>
        <v>17.536041666666669</v>
      </c>
      <c r="H58" s="244">
        <f t="shared" si="4"/>
        <v>12625.95</v>
      </c>
      <c r="I58" s="217"/>
      <c r="J58" s="217"/>
      <c r="K58" s="217"/>
      <c r="L58" s="251" t="s">
        <v>62</v>
      </c>
      <c r="M58" s="223">
        <f t="shared" si="5"/>
        <v>0</v>
      </c>
      <c r="N58" s="223">
        <f t="shared" si="6"/>
        <v>0</v>
      </c>
      <c r="P58" s="219"/>
      <c r="U58" s="200"/>
      <c r="W58" s="200"/>
    </row>
    <row r="59" spans="2:24" s="192" customFormat="1" ht="25.5" customHeight="1">
      <c r="B59" s="504" t="s">
        <v>53</v>
      </c>
      <c r="C59" s="575" t="s">
        <v>336</v>
      </c>
      <c r="D59" s="596">
        <v>32</v>
      </c>
      <c r="E59" s="596">
        <v>131</v>
      </c>
      <c r="F59" s="101">
        <v>1000</v>
      </c>
      <c r="G59" s="247">
        <f t="shared" si="7"/>
        <v>18.390208333333334</v>
      </c>
      <c r="H59" s="248">
        <f t="shared" si="4"/>
        <v>13240.95</v>
      </c>
      <c r="I59" s="217"/>
      <c r="J59" s="217"/>
      <c r="K59" s="217"/>
      <c r="L59" s="249" t="s">
        <v>62</v>
      </c>
      <c r="M59" s="218">
        <f t="shared" si="5"/>
        <v>0</v>
      </c>
      <c r="N59" s="218">
        <f t="shared" si="6"/>
        <v>0</v>
      </c>
      <c r="P59" s="219"/>
      <c r="U59" s="200"/>
      <c r="W59" s="200"/>
    </row>
    <row r="60" spans="2:24" s="192" customFormat="1" ht="25.5" customHeight="1">
      <c r="B60" s="501" t="s">
        <v>88</v>
      </c>
      <c r="C60" s="573"/>
      <c r="D60" s="89"/>
      <c r="E60" s="89"/>
      <c r="F60" s="89"/>
      <c r="G60" s="226"/>
      <c r="H60" s="227"/>
      <c r="I60" s="162" t="str">
        <f>SUM(I41:I59)&amp;" st"</f>
        <v>0 st</v>
      </c>
      <c r="J60" s="162" t="str">
        <f>SUM(J41:J59)&amp;" st"</f>
        <v>0 st</v>
      </c>
      <c r="K60" s="162" t="str">
        <f>SUM(K41:K59)&amp;" st"</f>
        <v>0 st</v>
      </c>
      <c r="L60" s="163"/>
      <c r="M60" s="622">
        <f>SUM(M41:M59)</f>
        <v>0</v>
      </c>
      <c r="N60" s="90">
        <f>SUM(N41:N59)</f>
        <v>0</v>
      </c>
      <c r="P60" s="219"/>
      <c r="U60" s="200"/>
      <c r="W60" s="200"/>
    </row>
    <row r="61" spans="2:24" ht="25.5" customHeight="1">
      <c r="B61" s="506"/>
      <c r="C61" s="577"/>
      <c r="D61" s="19"/>
      <c r="E61" s="19"/>
      <c r="F61" s="252"/>
      <c r="G61" s="253"/>
      <c r="H61" s="254"/>
      <c r="I61" s="254"/>
      <c r="J61" s="254"/>
      <c r="K61" s="254"/>
      <c r="L61" s="252"/>
      <c r="M61" s="255"/>
      <c r="N61" s="255"/>
      <c r="O61" s="202"/>
      <c r="P61" s="205"/>
      <c r="Q61" s="192"/>
      <c r="U61" s="200"/>
      <c r="V61" s="200"/>
      <c r="W61" s="228"/>
    </row>
    <row r="62" spans="2:24" ht="25.5" customHeight="1">
      <c r="B62" s="506"/>
      <c r="C62" s="577"/>
      <c r="D62" s="19"/>
      <c r="E62" s="19"/>
      <c r="F62" s="252"/>
      <c r="G62" s="253"/>
      <c r="H62" s="254"/>
      <c r="I62" s="254"/>
      <c r="J62" s="254"/>
      <c r="K62" s="254"/>
      <c r="L62" s="252"/>
      <c r="M62" s="255"/>
      <c r="N62" s="255"/>
      <c r="O62" s="202"/>
      <c r="P62" s="205"/>
      <c r="Q62" s="192"/>
      <c r="U62" s="200"/>
      <c r="V62" s="200"/>
      <c r="W62" s="228"/>
    </row>
    <row r="63" spans="2:24" ht="25.5" customHeight="1">
      <c r="B63" s="507" t="s">
        <v>337</v>
      </c>
      <c r="C63" s="434"/>
      <c r="D63" s="434"/>
      <c r="E63" s="434"/>
      <c r="F63" s="434"/>
      <c r="G63" s="434"/>
      <c r="H63" s="256"/>
      <c r="I63" s="257"/>
      <c r="J63" s="257"/>
      <c r="K63" s="257"/>
      <c r="L63" s="257"/>
      <c r="M63" s="258"/>
      <c r="N63" s="258"/>
      <c r="O63" s="202"/>
      <c r="P63" s="205"/>
      <c r="U63" s="200"/>
      <c r="V63" s="200"/>
      <c r="W63" s="228"/>
    </row>
    <row r="64" spans="2:24" s="261" customFormat="1" ht="52">
      <c r="B64" s="498" t="s">
        <v>219</v>
      </c>
      <c r="C64" s="570" t="s">
        <v>335</v>
      </c>
      <c r="D64" s="14" t="s">
        <v>230</v>
      </c>
      <c r="E64" s="14" t="s">
        <v>12</v>
      </c>
      <c r="F64" s="102" t="s">
        <v>220</v>
      </c>
      <c r="G64" s="207" t="s">
        <v>221</v>
      </c>
      <c r="H64" s="207" t="s">
        <v>222</v>
      </c>
      <c r="I64" s="208" t="s">
        <v>223</v>
      </c>
      <c r="J64" s="208" t="s">
        <v>224</v>
      </c>
      <c r="K64" s="208" t="s">
        <v>225</v>
      </c>
      <c r="L64" s="209"/>
      <c r="M64" s="207" t="s">
        <v>226</v>
      </c>
      <c r="N64" s="207" t="s">
        <v>227</v>
      </c>
      <c r="O64" s="259"/>
      <c r="P64" s="260"/>
      <c r="Q64" s="259"/>
      <c r="R64" s="259"/>
      <c r="V64" s="262"/>
      <c r="W64" s="262"/>
      <c r="X64" s="263"/>
    </row>
    <row r="65" spans="2:24" s="261" customFormat="1" ht="25">
      <c r="B65" s="504" t="s">
        <v>338</v>
      </c>
      <c r="C65" s="575" t="s">
        <v>339</v>
      </c>
      <c r="D65" s="596">
        <v>1</v>
      </c>
      <c r="E65" s="596">
        <v>1</v>
      </c>
      <c r="F65" s="104">
        <v>10</v>
      </c>
      <c r="G65" s="480">
        <f t="shared" ref="G65:G81" si="8">H65/720</f>
        <v>0.2955416666666667</v>
      </c>
      <c r="H65" s="478">
        <f t="shared" ref="H65:H85" si="9">D65*IAAS_vcpu_SUNET+E65*IAAS_ram_SUNET+F65*IAAS_ssd_SUNET</f>
        <v>212.79000000000002</v>
      </c>
      <c r="I65" s="217"/>
      <c r="J65" s="217"/>
      <c r="K65" s="217"/>
      <c r="L65" s="249" t="s">
        <v>62</v>
      </c>
      <c r="M65" s="218">
        <f t="shared" ref="M65:M81" si="10">ROUNDUP(I65*H65,2)</f>
        <v>0</v>
      </c>
      <c r="N65" s="218">
        <f t="shared" ref="N65:N85" si="11">J65*D65*SW_win.ser.201X_SEK+K65*D65*SW_ms.sql.ser_SEK</f>
        <v>0</v>
      </c>
      <c r="O65" s="259"/>
      <c r="P65" s="260"/>
      <c r="Q65" s="259"/>
      <c r="R65" s="259"/>
      <c r="V65" s="262"/>
      <c r="W65" s="262"/>
      <c r="X65" s="263"/>
    </row>
    <row r="66" spans="2:24" s="261" customFormat="1" ht="25">
      <c r="B66" s="503" t="s">
        <v>340</v>
      </c>
      <c r="C66" s="578" t="s">
        <v>339</v>
      </c>
      <c r="D66" s="597">
        <v>1</v>
      </c>
      <c r="E66" s="597">
        <v>2</v>
      </c>
      <c r="F66" s="103">
        <v>20</v>
      </c>
      <c r="G66" s="479">
        <f t="shared" si="8"/>
        <v>0.45441666666666669</v>
      </c>
      <c r="H66" s="477">
        <f t="shared" si="9"/>
        <v>327.18</v>
      </c>
      <c r="I66" s="217"/>
      <c r="J66" s="217"/>
      <c r="K66" s="217"/>
      <c r="L66" s="251" t="s">
        <v>62</v>
      </c>
      <c r="M66" s="223">
        <f t="shared" si="10"/>
        <v>0</v>
      </c>
      <c r="N66" s="223">
        <f t="shared" si="11"/>
        <v>0</v>
      </c>
      <c r="O66" s="259"/>
      <c r="P66" s="260"/>
      <c r="Q66" s="259"/>
      <c r="R66" s="259"/>
      <c r="V66" s="262"/>
      <c r="W66" s="262"/>
      <c r="X66" s="263"/>
    </row>
    <row r="67" spans="2:24" s="261" customFormat="1" ht="25">
      <c r="B67" s="504" t="s">
        <v>341</v>
      </c>
      <c r="C67" s="575" t="s">
        <v>339</v>
      </c>
      <c r="D67" s="596">
        <v>2</v>
      </c>
      <c r="E67" s="596">
        <v>4</v>
      </c>
      <c r="F67" s="104">
        <v>250</v>
      </c>
      <c r="G67" s="480">
        <f t="shared" si="8"/>
        <v>2.2720833333333332</v>
      </c>
      <c r="H67" s="478">
        <f t="shared" si="9"/>
        <v>1635.8999999999999</v>
      </c>
      <c r="I67" s="217"/>
      <c r="J67" s="217"/>
      <c r="K67" s="217"/>
      <c r="L67" s="249" t="s">
        <v>62</v>
      </c>
      <c r="M67" s="218">
        <f t="shared" si="10"/>
        <v>0</v>
      </c>
      <c r="N67" s="218">
        <f t="shared" si="11"/>
        <v>0</v>
      </c>
      <c r="O67" s="259"/>
      <c r="P67" s="260"/>
      <c r="Q67" s="259"/>
      <c r="R67" s="259"/>
      <c r="V67" s="262"/>
      <c r="W67" s="262"/>
      <c r="X67" s="263"/>
    </row>
    <row r="68" spans="2:24" s="261" customFormat="1" ht="25">
      <c r="B68" s="503" t="s">
        <v>342</v>
      </c>
      <c r="C68" s="578" t="s">
        <v>339</v>
      </c>
      <c r="D68" s="597">
        <v>4</v>
      </c>
      <c r="E68" s="597">
        <v>8</v>
      </c>
      <c r="F68" s="103">
        <v>250</v>
      </c>
      <c r="G68" s="479">
        <f t="shared" si="8"/>
        <v>2.9212499999999997</v>
      </c>
      <c r="H68" s="477">
        <f t="shared" si="9"/>
        <v>2103.2999999999997</v>
      </c>
      <c r="I68" s="217"/>
      <c r="J68" s="217"/>
      <c r="K68" s="217"/>
      <c r="L68" s="251" t="s">
        <v>62</v>
      </c>
      <c r="M68" s="223">
        <f t="shared" si="10"/>
        <v>0</v>
      </c>
      <c r="N68" s="223">
        <f t="shared" si="11"/>
        <v>0</v>
      </c>
      <c r="O68" s="259"/>
      <c r="P68" s="260"/>
      <c r="Q68" s="259"/>
      <c r="R68" s="259"/>
      <c r="V68" s="262"/>
      <c r="W68" s="262"/>
      <c r="X68" s="263"/>
    </row>
    <row r="69" spans="2:24" s="261" customFormat="1" ht="25">
      <c r="B69" s="504" t="s">
        <v>343</v>
      </c>
      <c r="C69" s="575" t="s">
        <v>339</v>
      </c>
      <c r="D69" s="596">
        <v>8</v>
      </c>
      <c r="E69" s="596">
        <v>16</v>
      </c>
      <c r="F69" s="104">
        <v>250</v>
      </c>
      <c r="G69" s="480">
        <f t="shared" si="8"/>
        <v>4.2195833333333335</v>
      </c>
      <c r="H69" s="478">
        <f t="shared" si="9"/>
        <v>3038.1</v>
      </c>
      <c r="I69" s="217"/>
      <c r="J69" s="217"/>
      <c r="K69" s="217"/>
      <c r="L69" s="249" t="s">
        <v>62</v>
      </c>
      <c r="M69" s="218">
        <f t="shared" si="10"/>
        <v>0</v>
      </c>
      <c r="N69" s="218">
        <f t="shared" si="11"/>
        <v>0</v>
      </c>
      <c r="O69" s="259"/>
      <c r="P69" s="260"/>
      <c r="Q69" s="259"/>
      <c r="R69" s="259"/>
      <c r="V69" s="262"/>
      <c r="W69" s="262"/>
      <c r="X69" s="263"/>
    </row>
    <row r="70" spans="2:24" s="261" customFormat="1" ht="25">
      <c r="B70" s="503" t="s">
        <v>344</v>
      </c>
      <c r="C70" s="578" t="s">
        <v>339</v>
      </c>
      <c r="D70" s="597">
        <v>16</v>
      </c>
      <c r="E70" s="597">
        <v>32</v>
      </c>
      <c r="F70" s="103">
        <v>250</v>
      </c>
      <c r="G70" s="479">
        <f t="shared" si="8"/>
        <v>6.8162500000000001</v>
      </c>
      <c r="H70" s="477">
        <f t="shared" si="9"/>
        <v>4907.7</v>
      </c>
      <c r="I70" s="217"/>
      <c r="J70" s="217"/>
      <c r="K70" s="217"/>
      <c r="L70" s="251" t="s">
        <v>62</v>
      </c>
      <c r="M70" s="223">
        <f t="shared" si="10"/>
        <v>0</v>
      </c>
      <c r="N70" s="223">
        <f t="shared" si="11"/>
        <v>0</v>
      </c>
      <c r="O70" s="259"/>
      <c r="P70" s="260"/>
      <c r="Q70" s="259"/>
      <c r="R70" s="259"/>
      <c r="V70" s="262"/>
      <c r="W70" s="262"/>
      <c r="X70" s="263"/>
    </row>
    <row r="71" spans="2:24" s="261" customFormat="1" ht="25">
      <c r="B71" s="504" t="s">
        <v>345</v>
      </c>
      <c r="C71" s="575" t="s">
        <v>339</v>
      </c>
      <c r="D71" s="596">
        <v>16</v>
      </c>
      <c r="E71" s="596">
        <v>32</v>
      </c>
      <c r="F71" s="104">
        <v>500</v>
      </c>
      <c r="G71" s="480">
        <f t="shared" si="8"/>
        <v>8.4391666666666669</v>
      </c>
      <c r="H71" s="478">
        <f t="shared" si="9"/>
        <v>6076.2</v>
      </c>
      <c r="I71" s="217"/>
      <c r="J71" s="217"/>
      <c r="K71" s="217"/>
      <c r="L71" s="249" t="s">
        <v>62</v>
      </c>
      <c r="M71" s="218">
        <f t="shared" si="10"/>
        <v>0</v>
      </c>
      <c r="N71" s="218">
        <f t="shared" si="11"/>
        <v>0</v>
      </c>
      <c r="O71" s="259"/>
      <c r="P71" s="260"/>
      <c r="Q71" s="259"/>
      <c r="R71" s="259"/>
      <c r="V71" s="262"/>
      <c r="W71" s="262"/>
      <c r="X71" s="263"/>
    </row>
    <row r="72" spans="2:24" s="261" customFormat="1" ht="25">
      <c r="B72" s="503" t="s">
        <v>346</v>
      </c>
      <c r="C72" s="578" t="s">
        <v>339</v>
      </c>
      <c r="D72" s="597">
        <v>16</v>
      </c>
      <c r="E72" s="597">
        <v>32</v>
      </c>
      <c r="F72" s="103">
        <v>1000</v>
      </c>
      <c r="G72" s="479">
        <f t="shared" si="8"/>
        <v>11.684999999999999</v>
      </c>
      <c r="H72" s="477">
        <f t="shared" si="9"/>
        <v>8413.1999999999989</v>
      </c>
      <c r="I72" s="217"/>
      <c r="J72" s="217"/>
      <c r="K72" s="217"/>
      <c r="L72" s="251" t="s">
        <v>62</v>
      </c>
      <c r="M72" s="223">
        <f t="shared" si="10"/>
        <v>0</v>
      </c>
      <c r="N72" s="223">
        <f t="shared" si="11"/>
        <v>0</v>
      </c>
      <c r="O72" s="259"/>
      <c r="P72" s="260"/>
      <c r="Q72" s="259"/>
      <c r="R72" s="259"/>
      <c r="V72" s="262"/>
      <c r="W72" s="262"/>
      <c r="X72" s="263"/>
    </row>
    <row r="73" spans="2:24" s="261" customFormat="1" ht="25">
      <c r="B73" s="504" t="s">
        <v>347</v>
      </c>
      <c r="C73" s="575" t="s">
        <v>339</v>
      </c>
      <c r="D73" s="596">
        <v>32</v>
      </c>
      <c r="E73" s="596">
        <v>65</v>
      </c>
      <c r="F73" s="104">
        <v>250</v>
      </c>
      <c r="G73" s="480">
        <f t="shared" si="8"/>
        <v>12.103541666666665</v>
      </c>
      <c r="H73" s="478">
        <f t="shared" si="9"/>
        <v>8714.5499999999993</v>
      </c>
      <c r="I73" s="217"/>
      <c r="J73" s="217"/>
      <c r="K73" s="217"/>
      <c r="L73" s="249" t="s">
        <v>62</v>
      </c>
      <c r="M73" s="218">
        <f t="shared" si="10"/>
        <v>0</v>
      </c>
      <c r="N73" s="218">
        <f t="shared" si="11"/>
        <v>0</v>
      </c>
      <c r="O73" s="259"/>
      <c r="P73" s="260"/>
      <c r="Q73" s="259"/>
      <c r="R73" s="259"/>
      <c r="V73" s="262"/>
      <c r="W73" s="262"/>
      <c r="X73" s="263"/>
    </row>
    <row r="74" spans="2:24" s="261" customFormat="1" ht="25">
      <c r="B74" s="503" t="s">
        <v>348</v>
      </c>
      <c r="C74" s="578" t="s">
        <v>339</v>
      </c>
      <c r="D74" s="597">
        <v>32</v>
      </c>
      <c r="E74" s="597">
        <v>65</v>
      </c>
      <c r="F74" s="103">
        <v>500</v>
      </c>
      <c r="G74" s="479">
        <f t="shared" si="8"/>
        <v>13.726458333333332</v>
      </c>
      <c r="H74" s="477">
        <f t="shared" si="9"/>
        <v>9883.0499999999993</v>
      </c>
      <c r="I74" s="217"/>
      <c r="J74" s="217"/>
      <c r="K74" s="217"/>
      <c r="L74" s="251" t="s">
        <v>62</v>
      </c>
      <c r="M74" s="223">
        <f t="shared" si="10"/>
        <v>0</v>
      </c>
      <c r="N74" s="223">
        <f t="shared" si="11"/>
        <v>0</v>
      </c>
      <c r="O74" s="259"/>
      <c r="P74" s="260"/>
      <c r="Q74" s="259"/>
      <c r="R74" s="259"/>
      <c r="V74" s="262"/>
      <c r="W74" s="262"/>
      <c r="X74" s="263"/>
    </row>
    <row r="75" spans="2:24" s="261" customFormat="1" ht="25">
      <c r="B75" s="504" t="s">
        <v>349</v>
      </c>
      <c r="C75" s="575" t="s">
        <v>339</v>
      </c>
      <c r="D75" s="596">
        <v>32</v>
      </c>
      <c r="E75" s="596">
        <v>65</v>
      </c>
      <c r="F75" s="104">
        <v>1000</v>
      </c>
      <c r="G75" s="480">
        <f t="shared" si="8"/>
        <v>16.972291666666667</v>
      </c>
      <c r="H75" s="478">
        <f t="shared" si="9"/>
        <v>12220.05</v>
      </c>
      <c r="I75" s="217"/>
      <c r="J75" s="217"/>
      <c r="K75" s="217"/>
      <c r="L75" s="249" t="s">
        <v>62</v>
      </c>
      <c r="M75" s="218">
        <f t="shared" si="10"/>
        <v>0</v>
      </c>
      <c r="N75" s="218">
        <f t="shared" si="11"/>
        <v>0</v>
      </c>
      <c r="O75" s="259"/>
      <c r="P75" s="260"/>
      <c r="Q75" s="259"/>
      <c r="R75" s="259"/>
      <c r="V75" s="262"/>
      <c r="W75" s="262"/>
      <c r="X75" s="263"/>
    </row>
    <row r="76" spans="2:24" s="261" customFormat="1" ht="25">
      <c r="B76" s="503" t="s">
        <v>350</v>
      </c>
      <c r="C76" s="578" t="s">
        <v>339</v>
      </c>
      <c r="D76" s="597">
        <v>1</v>
      </c>
      <c r="E76" s="597">
        <v>4</v>
      </c>
      <c r="F76" s="103">
        <v>20</v>
      </c>
      <c r="G76" s="479">
        <f t="shared" si="8"/>
        <v>0.64233333333333331</v>
      </c>
      <c r="H76" s="477">
        <f t="shared" si="9"/>
        <v>462.48</v>
      </c>
      <c r="I76" s="217"/>
      <c r="J76" s="217"/>
      <c r="K76" s="217"/>
      <c r="L76" s="251" t="s">
        <v>62</v>
      </c>
      <c r="M76" s="223">
        <f t="shared" si="10"/>
        <v>0</v>
      </c>
      <c r="N76" s="223">
        <f t="shared" si="11"/>
        <v>0</v>
      </c>
      <c r="O76" s="259"/>
      <c r="P76" s="260"/>
      <c r="Q76" s="259"/>
      <c r="R76" s="259"/>
      <c r="V76" s="262"/>
      <c r="W76" s="262"/>
      <c r="X76" s="263"/>
    </row>
    <row r="77" spans="2:24" s="261" customFormat="1" ht="25">
      <c r="B77" s="504" t="s">
        <v>351</v>
      </c>
      <c r="C77" s="575" t="s">
        <v>339</v>
      </c>
      <c r="D77" s="596">
        <v>2</v>
      </c>
      <c r="E77" s="596">
        <v>8</v>
      </c>
      <c r="F77" s="104">
        <v>250</v>
      </c>
      <c r="G77" s="480">
        <f t="shared" si="8"/>
        <v>2.6479166666666663</v>
      </c>
      <c r="H77" s="478">
        <f t="shared" si="9"/>
        <v>1906.4999999999998</v>
      </c>
      <c r="I77" s="217"/>
      <c r="J77" s="217"/>
      <c r="K77" s="217"/>
      <c r="L77" s="249" t="s">
        <v>62</v>
      </c>
      <c r="M77" s="218">
        <f t="shared" si="10"/>
        <v>0</v>
      </c>
      <c r="N77" s="218">
        <f t="shared" si="11"/>
        <v>0</v>
      </c>
      <c r="O77" s="259"/>
      <c r="P77" s="260"/>
      <c r="Q77" s="259"/>
      <c r="R77" s="259"/>
      <c r="V77" s="262"/>
      <c r="W77" s="262"/>
      <c r="X77" s="263"/>
    </row>
    <row r="78" spans="2:24" s="261" customFormat="1" ht="25">
      <c r="B78" s="503" t="s">
        <v>352</v>
      </c>
      <c r="C78" s="578" t="s">
        <v>339</v>
      </c>
      <c r="D78" s="597">
        <v>4</v>
      </c>
      <c r="E78" s="597">
        <v>16</v>
      </c>
      <c r="F78" s="103">
        <v>250</v>
      </c>
      <c r="G78" s="479">
        <f t="shared" si="8"/>
        <v>3.6729166666666666</v>
      </c>
      <c r="H78" s="477">
        <f t="shared" si="9"/>
        <v>2644.5</v>
      </c>
      <c r="I78" s="217"/>
      <c r="J78" s="217"/>
      <c r="K78" s="217"/>
      <c r="L78" s="251" t="s">
        <v>62</v>
      </c>
      <c r="M78" s="223">
        <f t="shared" si="10"/>
        <v>0</v>
      </c>
      <c r="N78" s="223">
        <f t="shared" si="11"/>
        <v>0</v>
      </c>
      <c r="O78" s="259"/>
      <c r="P78" s="260"/>
      <c r="Q78" s="259"/>
      <c r="R78" s="259"/>
      <c r="V78" s="262"/>
      <c r="W78" s="262"/>
      <c r="X78" s="263"/>
    </row>
    <row r="79" spans="2:24" s="261" customFormat="1" ht="25">
      <c r="B79" s="504" t="s">
        <v>353</v>
      </c>
      <c r="C79" s="575" t="s">
        <v>339</v>
      </c>
      <c r="D79" s="596">
        <v>8</v>
      </c>
      <c r="E79" s="596">
        <v>32</v>
      </c>
      <c r="F79" s="104">
        <v>250</v>
      </c>
      <c r="G79" s="480">
        <f t="shared" si="8"/>
        <v>5.7229166666666664</v>
      </c>
      <c r="H79" s="478">
        <f t="shared" si="9"/>
        <v>4120.5</v>
      </c>
      <c r="I79" s="217"/>
      <c r="J79" s="217"/>
      <c r="K79" s="217"/>
      <c r="L79" s="249" t="s">
        <v>62</v>
      </c>
      <c r="M79" s="218">
        <f t="shared" si="10"/>
        <v>0</v>
      </c>
      <c r="N79" s="218">
        <f t="shared" si="11"/>
        <v>0</v>
      </c>
      <c r="O79" s="259"/>
      <c r="P79" s="260"/>
      <c r="Q79" s="259"/>
      <c r="R79" s="259"/>
      <c r="V79" s="262"/>
      <c r="W79" s="262"/>
      <c r="X79" s="263"/>
    </row>
    <row r="80" spans="2:24" s="261" customFormat="1" ht="25">
      <c r="B80" s="503" t="s">
        <v>354</v>
      </c>
      <c r="C80" s="578" t="s">
        <v>339</v>
      </c>
      <c r="D80" s="597">
        <v>16</v>
      </c>
      <c r="E80" s="597">
        <v>65</v>
      </c>
      <c r="F80" s="103">
        <v>250</v>
      </c>
      <c r="G80" s="479">
        <f t="shared" si="8"/>
        <v>9.9168749999999992</v>
      </c>
      <c r="H80" s="477">
        <f t="shared" si="9"/>
        <v>7140.15</v>
      </c>
      <c r="I80" s="217"/>
      <c r="J80" s="217"/>
      <c r="K80" s="217"/>
      <c r="L80" s="251" t="s">
        <v>62</v>
      </c>
      <c r="M80" s="223">
        <f t="shared" si="10"/>
        <v>0</v>
      </c>
      <c r="N80" s="223">
        <f t="shared" si="11"/>
        <v>0</v>
      </c>
      <c r="O80" s="259"/>
      <c r="P80" s="260"/>
      <c r="Q80" s="259"/>
      <c r="R80" s="259"/>
      <c r="V80" s="262"/>
      <c r="W80" s="262"/>
      <c r="X80" s="263"/>
    </row>
    <row r="81" spans="2:24" s="261" customFormat="1" ht="25">
      <c r="B81" s="504" t="s">
        <v>355</v>
      </c>
      <c r="C81" s="575" t="s">
        <v>339</v>
      </c>
      <c r="D81" s="596">
        <v>16</v>
      </c>
      <c r="E81" s="596">
        <v>65</v>
      </c>
      <c r="F81" s="104">
        <v>500</v>
      </c>
      <c r="G81" s="480">
        <f t="shared" si="8"/>
        <v>11.539791666666666</v>
      </c>
      <c r="H81" s="478">
        <f t="shared" si="9"/>
        <v>8308.65</v>
      </c>
      <c r="I81" s="217"/>
      <c r="J81" s="217"/>
      <c r="K81" s="217"/>
      <c r="L81" s="249" t="s">
        <v>62</v>
      </c>
      <c r="M81" s="218">
        <f t="shared" si="10"/>
        <v>0</v>
      </c>
      <c r="N81" s="218">
        <f t="shared" si="11"/>
        <v>0</v>
      </c>
      <c r="O81" s="259"/>
      <c r="P81" s="260"/>
      <c r="Q81" s="259"/>
      <c r="R81" s="259"/>
      <c r="V81" s="262"/>
      <c r="W81" s="262"/>
      <c r="X81" s="263"/>
    </row>
    <row r="82" spans="2:24" s="261" customFormat="1" ht="25">
      <c r="B82" s="503" t="s">
        <v>356</v>
      </c>
      <c r="C82" s="578" t="s">
        <v>339</v>
      </c>
      <c r="D82" s="597">
        <v>16</v>
      </c>
      <c r="E82" s="597">
        <v>65</v>
      </c>
      <c r="F82" s="103">
        <v>1000</v>
      </c>
      <c r="G82" s="479">
        <f>H82/720</f>
        <v>14.785624999999998</v>
      </c>
      <c r="H82" s="477">
        <f t="shared" si="9"/>
        <v>10645.649999999998</v>
      </c>
      <c r="I82" s="217"/>
      <c r="J82" s="217"/>
      <c r="K82" s="217"/>
      <c r="L82" s="251" t="s">
        <v>62</v>
      </c>
      <c r="M82" s="223">
        <f t="shared" ref="M82:M85" si="12">ROUNDUP(I82*H82,2)</f>
        <v>0</v>
      </c>
      <c r="N82" s="223">
        <f t="shared" si="11"/>
        <v>0</v>
      </c>
      <c r="O82" s="259"/>
      <c r="P82" s="260"/>
      <c r="Q82" s="259"/>
      <c r="R82" s="259"/>
      <c r="V82" s="262"/>
      <c r="W82" s="262"/>
      <c r="X82" s="263"/>
    </row>
    <row r="83" spans="2:24" s="261" customFormat="1" ht="25">
      <c r="B83" s="504" t="s">
        <v>357</v>
      </c>
      <c r="C83" s="575" t="s">
        <v>339</v>
      </c>
      <c r="D83" s="596">
        <v>32</v>
      </c>
      <c r="E83" s="596">
        <v>131</v>
      </c>
      <c r="F83" s="104">
        <v>250</v>
      </c>
      <c r="G83" s="480">
        <f t="shared" ref="G83:G85" si="13">H83/720</f>
        <v>18.304791666666667</v>
      </c>
      <c r="H83" s="478">
        <f t="shared" si="9"/>
        <v>13179.45</v>
      </c>
      <c r="I83" s="217"/>
      <c r="J83" s="217"/>
      <c r="K83" s="217"/>
      <c r="L83" s="249" t="s">
        <v>62</v>
      </c>
      <c r="M83" s="218">
        <f t="shared" si="12"/>
        <v>0</v>
      </c>
      <c r="N83" s="218">
        <f t="shared" si="11"/>
        <v>0</v>
      </c>
      <c r="O83" s="259"/>
      <c r="P83" s="260"/>
      <c r="Q83" s="259"/>
      <c r="R83" s="259"/>
      <c r="V83" s="262"/>
      <c r="W83" s="262"/>
      <c r="X83" s="263"/>
    </row>
    <row r="84" spans="2:24" s="261" customFormat="1" ht="25">
      <c r="B84" s="503" t="s">
        <v>358</v>
      </c>
      <c r="C84" s="578" t="s">
        <v>339</v>
      </c>
      <c r="D84" s="597">
        <v>32</v>
      </c>
      <c r="E84" s="597">
        <v>131</v>
      </c>
      <c r="F84" s="103">
        <v>500</v>
      </c>
      <c r="G84" s="479">
        <f t="shared" si="13"/>
        <v>19.927708333333335</v>
      </c>
      <c r="H84" s="477">
        <f t="shared" si="9"/>
        <v>14347.95</v>
      </c>
      <c r="I84" s="217"/>
      <c r="J84" s="217"/>
      <c r="K84" s="217"/>
      <c r="L84" s="251" t="s">
        <v>62</v>
      </c>
      <c r="M84" s="223">
        <f t="shared" si="12"/>
        <v>0</v>
      </c>
      <c r="N84" s="223">
        <f t="shared" si="11"/>
        <v>0</v>
      </c>
      <c r="O84" s="259"/>
      <c r="P84" s="260"/>
      <c r="Q84" s="259"/>
      <c r="R84" s="259"/>
      <c r="V84" s="262"/>
      <c r="W84" s="262"/>
      <c r="X84" s="263"/>
    </row>
    <row r="85" spans="2:24" s="261" customFormat="1" ht="25">
      <c r="B85" s="504" t="s">
        <v>359</v>
      </c>
      <c r="C85" s="575" t="s">
        <v>339</v>
      </c>
      <c r="D85" s="596">
        <v>32</v>
      </c>
      <c r="E85" s="596">
        <v>131</v>
      </c>
      <c r="F85" s="104">
        <v>1000</v>
      </c>
      <c r="G85" s="480">
        <f t="shared" si="13"/>
        <v>23.173541666666669</v>
      </c>
      <c r="H85" s="478">
        <f t="shared" si="9"/>
        <v>16684.95</v>
      </c>
      <c r="I85" s="217"/>
      <c r="J85" s="217"/>
      <c r="K85" s="217"/>
      <c r="L85" s="249" t="s">
        <v>62</v>
      </c>
      <c r="M85" s="218">
        <f t="shared" si="12"/>
        <v>0</v>
      </c>
      <c r="N85" s="218">
        <f t="shared" si="11"/>
        <v>0</v>
      </c>
      <c r="O85" s="259"/>
      <c r="P85" s="260"/>
      <c r="Q85" s="259"/>
      <c r="R85" s="259"/>
      <c r="V85" s="262"/>
      <c r="W85" s="262"/>
      <c r="X85" s="263"/>
    </row>
    <row r="86" spans="2:24" s="268" customFormat="1" ht="25.5" customHeight="1">
      <c r="B86" s="501" t="s">
        <v>360</v>
      </c>
      <c r="C86" s="573"/>
      <c r="D86" s="89"/>
      <c r="E86" s="89"/>
      <c r="F86" s="225"/>
      <c r="G86" s="226"/>
      <c r="H86" s="227"/>
      <c r="I86" s="162" t="str">
        <f>SUM(I65:I85)&amp;" st"</f>
        <v>0 st</v>
      </c>
      <c r="J86" s="162" t="str">
        <f>SUM(J65:J85)&amp;" st"</f>
        <v>0 st</v>
      </c>
      <c r="K86" s="162" t="str">
        <f>SUM(K65:K85)&amp;" st"</f>
        <v>0 st</v>
      </c>
      <c r="L86" s="163"/>
      <c r="M86" s="622">
        <f>SUM(M65:M85)</f>
        <v>0</v>
      </c>
      <c r="N86" s="622">
        <f>SUM(N65:N85)</f>
        <v>0</v>
      </c>
      <c r="O86" s="51"/>
      <c r="P86" s="264"/>
      <c r="Q86" s="265"/>
      <c r="R86" s="265"/>
      <c r="S86" s="265"/>
      <c r="T86" s="265"/>
      <c r="U86" s="266"/>
      <c r="V86" s="265"/>
      <c r="W86" s="267"/>
    </row>
    <row r="87" spans="2:24" s="192" customFormat="1" ht="25.5" customHeight="1">
      <c r="B87" s="502"/>
      <c r="C87" s="579"/>
      <c r="D87" s="22"/>
      <c r="E87" s="21"/>
      <c r="F87" s="269"/>
      <c r="G87" s="269"/>
      <c r="H87" s="201"/>
      <c r="I87" s="201"/>
      <c r="J87" s="201"/>
      <c r="K87" s="270"/>
      <c r="L87" s="201"/>
      <c r="M87" s="271"/>
      <c r="N87" s="271"/>
      <c r="P87" s="219"/>
      <c r="U87" s="200"/>
      <c r="W87" s="200"/>
    </row>
    <row r="88" spans="2:24" s="192" customFormat="1" ht="25.5" customHeight="1">
      <c r="B88" s="502"/>
      <c r="C88" s="579"/>
      <c r="D88" s="22"/>
      <c r="E88" s="21"/>
      <c r="F88" s="269"/>
      <c r="G88" s="269"/>
      <c r="H88" s="201"/>
      <c r="I88" s="201"/>
      <c r="J88" s="201"/>
      <c r="K88" s="270"/>
      <c r="L88" s="201"/>
      <c r="M88" s="271"/>
      <c r="N88" s="271"/>
      <c r="P88" s="219"/>
      <c r="U88" s="200"/>
      <c r="W88" s="200"/>
    </row>
    <row r="89" spans="2:24" s="237" customFormat="1" ht="31">
      <c r="B89" s="460" t="s">
        <v>60</v>
      </c>
      <c r="C89" s="24"/>
      <c r="D89" s="24"/>
      <c r="E89" s="24"/>
      <c r="F89" s="272"/>
      <c r="G89" s="272"/>
      <c r="H89" s="201"/>
      <c r="I89" s="201"/>
      <c r="J89" s="201"/>
      <c r="K89" s="270"/>
      <c r="L89" s="201"/>
      <c r="M89" s="271"/>
      <c r="N89" s="271"/>
      <c r="P89" s="238"/>
      <c r="Q89" s="201"/>
      <c r="R89" s="201"/>
      <c r="S89" s="201"/>
      <c r="T89" s="201"/>
      <c r="U89" s="239"/>
      <c r="V89" s="201"/>
      <c r="W89" s="240"/>
    </row>
    <row r="90" spans="2:24" s="261" customFormat="1" ht="47">
      <c r="B90" s="498" t="s">
        <v>219</v>
      </c>
      <c r="C90" s="14" t="s">
        <v>230</v>
      </c>
      <c r="D90" s="14" t="s">
        <v>12</v>
      </c>
      <c r="E90" s="14" t="s">
        <v>34</v>
      </c>
      <c r="F90" s="273"/>
      <c r="G90" s="207" t="s">
        <v>221</v>
      </c>
      <c r="H90" s="207" t="s">
        <v>222</v>
      </c>
      <c r="I90" s="274" t="s">
        <v>223</v>
      </c>
      <c r="J90" s="274" t="s">
        <v>224</v>
      </c>
      <c r="K90" s="274" t="s">
        <v>225</v>
      </c>
      <c r="L90" s="209"/>
      <c r="M90" s="207" t="s">
        <v>226</v>
      </c>
      <c r="N90" s="207" t="s">
        <v>227</v>
      </c>
      <c r="O90" s="259"/>
      <c r="P90" s="260"/>
      <c r="Q90" s="259"/>
      <c r="R90" s="259"/>
      <c r="V90" s="262"/>
      <c r="W90" s="262"/>
      <c r="X90" s="263"/>
    </row>
    <row r="91" spans="2:24" s="192" customFormat="1" ht="25.5" customHeight="1">
      <c r="B91" s="141" t="s">
        <v>61</v>
      </c>
      <c r="C91" s="588">
        <v>16</v>
      </c>
      <c r="D91" s="588">
        <v>128</v>
      </c>
      <c r="E91" s="589">
        <v>3800</v>
      </c>
      <c r="F91" s="275"/>
      <c r="G91" s="247">
        <f t="shared" ref="G91:G93" si="14">H91/720</f>
        <v>9.5</v>
      </c>
      <c r="H91" s="248">
        <f>INSTANCE_p1.2xlarge.16d_SEK</f>
        <v>6840</v>
      </c>
      <c r="I91" s="217">
        <v>0</v>
      </c>
      <c r="J91" s="217">
        <v>0</v>
      </c>
      <c r="K91" s="217">
        <v>0</v>
      </c>
      <c r="L91" s="214" t="s">
        <v>62</v>
      </c>
      <c r="M91" s="218">
        <f t="shared" ref="M91:M93" si="15">ROUNDUP(I91*H91,2)</f>
        <v>0</v>
      </c>
      <c r="N91" s="218">
        <f>J91*C91*SW_win.ser.201X_SEK+K91*C91*SW_ms.sql.ser_SEK</f>
        <v>0</v>
      </c>
      <c r="O91" s="201"/>
      <c r="P91" s="219"/>
    </row>
    <row r="92" spans="2:24" s="192" customFormat="1" ht="25.5" customHeight="1">
      <c r="B92" s="508" t="s">
        <v>63</v>
      </c>
      <c r="C92" s="590">
        <v>32</v>
      </c>
      <c r="D92" s="590">
        <v>256</v>
      </c>
      <c r="E92" s="591">
        <v>3800</v>
      </c>
      <c r="F92" s="276"/>
      <c r="G92" s="243">
        <f t="shared" si="14"/>
        <v>19</v>
      </c>
      <c r="H92" s="244">
        <f>INSTANCE_p1.4xlarge.16d_SEK</f>
        <v>13680</v>
      </c>
      <c r="I92" s="217">
        <v>0</v>
      </c>
      <c r="J92" s="217">
        <v>0</v>
      </c>
      <c r="K92" s="217">
        <v>0</v>
      </c>
      <c r="L92" s="220" t="str">
        <f t="shared" ref="L92" si="16">L91</f>
        <v>Instanser</v>
      </c>
      <c r="M92" s="223">
        <f t="shared" si="15"/>
        <v>0</v>
      </c>
      <c r="N92" s="223">
        <f>J92*C92*SW_win.ser.201X_SEK+K92*C92*SW_ms.sql.ser_SEK</f>
        <v>0</v>
      </c>
      <c r="O92" s="201"/>
      <c r="P92" s="219"/>
      <c r="X92" s="200"/>
    </row>
    <row r="93" spans="2:24" s="265" customFormat="1" ht="25.5" customHeight="1">
      <c r="B93" s="509" t="s">
        <v>64</v>
      </c>
      <c r="C93" s="592">
        <v>64</v>
      </c>
      <c r="D93" s="592">
        <v>512</v>
      </c>
      <c r="E93" s="593">
        <v>7600</v>
      </c>
      <c r="F93" s="277"/>
      <c r="G93" s="278">
        <f t="shared" si="14"/>
        <v>38</v>
      </c>
      <c r="H93" s="279">
        <f>INSTANCE_p1.8xlarge.32d_SEK</f>
        <v>27360</v>
      </c>
      <c r="I93" s="217">
        <v>0</v>
      </c>
      <c r="J93" s="217">
        <v>0</v>
      </c>
      <c r="K93" s="217">
        <v>0</v>
      </c>
      <c r="L93" s="214" t="s">
        <v>62</v>
      </c>
      <c r="M93" s="218">
        <f t="shared" si="15"/>
        <v>0</v>
      </c>
      <c r="N93" s="218">
        <f>J93*C93*SW_win.ser.201X_SEK+K93*C93*SW_ms.sql.ser_SEK</f>
        <v>0</v>
      </c>
      <c r="O93" s="280"/>
      <c r="P93" s="281"/>
    </row>
    <row r="94" spans="2:24" ht="25.5" customHeight="1">
      <c r="B94" s="502" t="s">
        <v>88</v>
      </c>
      <c r="C94" s="574"/>
      <c r="D94" s="21"/>
      <c r="E94" s="21"/>
      <c r="F94" s="265"/>
      <c r="G94" s="265"/>
      <c r="H94" s="265"/>
      <c r="I94" s="162" t="str">
        <f>SUM(I91:I93)&amp;" st"</f>
        <v>0 st</v>
      </c>
      <c r="J94" s="162" t="str">
        <f>SUM(J91:J93)&amp;" st"</f>
        <v>0 st</v>
      </c>
      <c r="K94" s="162" t="str">
        <f>SUM(K91:K93)&amp;" st"</f>
        <v>0 st</v>
      </c>
      <c r="L94" s="163"/>
      <c r="M94" s="622">
        <f>SUM(M91:M93)</f>
        <v>0</v>
      </c>
      <c r="N94" s="90">
        <f>SUM(N91:N93)</f>
        <v>0</v>
      </c>
      <c r="O94" s="202"/>
      <c r="P94" s="205"/>
    </row>
    <row r="95" spans="2:24" ht="25.5" customHeight="1">
      <c r="B95" s="510"/>
      <c r="C95" s="580"/>
      <c r="D95" s="78"/>
      <c r="E95" s="78"/>
      <c r="F95" s="282"/>
      <c r="G95" s="282"/>
      <c r="H95" s="265"/>
      <c r="I95" s="283"/>
      <c r="J95" s="283"/>
      <c r="K95" s="283"/>
      <c r="L95" s="232"/>
      <c r="M95" s="50"/>
      <c r="N95" s="51"/>
      <c r="O95" s="202"/>
      <c r="P95" s="205"/>
    </row>
    <row r="96" spans="2:24" s="192" customFormat="1" ht="25.5" customHeight="1">
      <c r="B96" s="511"/>
      <c r="C96" s="579"/>
      <c r="D96" s="22"/>
      <c r="E96" s="22"/>
      <c r="F96" s="269"/>
      <c r="G96" s="269"/>
      <c r="H96" s="201"/>
      <c r="I96" s="201"/>
      <c r="J96" s="201"/>
      <c r="K96" s="270"/>
      <c r="L96" s="201"/>
      <c r="M96" s="271"/>
      <c r="N96" s="271"/>
      <c r="P96" s="219"/>
      <c r="U96" s="200"/>
      <c r="W96" s="200"/>
    </row>
    <row r="97" spans="2:25" ht="25.5" customHeight="1">
      <c r="B97" s="460" t="s">
        <v>231</v>
      </c>
      <c r="C97" s="24"/>
      <c r="D97" s="24"/>
      <c r="E97" s="24"/>
      <c r="F97" s="272"/>
      <c r="G97" s="272"/>
      <c r="H97" s="201"/>
      <c r="I97" s="201"/>
      <c r="J97" s="201"/>
      <c r="K97" s="270"/>
      <c r="L97" s="201"/>
      <c r="M97" s="271"/>
      <c r="N97" s="271"/>
      <c r="O97" s="202"/>
      <c r="P97" s="205"/>
      <c r="Q97" s="192"/>
      <c r="R97" s="192"/>
      <c r="S97" s="192"/>
      <c r="T97" s="192"/>
      <c r="U97" s="200"/>
      <c r="V97" s="192"/>
      <c r="W97" s="228"/>
    </row>
    <row r="98" spans="2:25" s="287" customFormat="1" ht="35.25" customHeight="1">
      <c r="B98" s="498" t="s">
        <v>219</v>
      </c>
      <c r="C98" s="26" t="s">
        <v>232</v>
      </c>
      <c r="D98" s="26"/>
      <c r="E98" s="138" t="s">
        <v>221</v>
      </c>
      <c r="F98" s="651" t="s">
        <v>233</v>
      </c>
      <c r="G98" s="651"/>
      <c r="H98" s="649"/>
      <c r="I98" s="649"/>
      <c r="J98" s="285" t="s">
        <v>68</v>
      </c>
      <c r="K98" s="284"/>
      <c r="L98" s="284"/>
      <c r="M98" s="284"/>
      <c r="N98" s="612"/>
      <c r="O98" s="213"/>
      <c r="P98" s="286"/>
      <c r="R98" s="213"/>
      <c r="S98" s="213"/>
      <c r="W98" s="288"/>
      <c r="X98" s="288"/>
      <c r="Y98" s="289"/>
    </row>
    <row r="99" spans="2:25" s="192" customFormat="1" ht="25.5" customHeight="1">
      <c r="B99" s="141" t="s">
        <v>69</v>
      </c>
      <c r="C99" s="41" t="s">
        <v>73</v>
      </c>
      <c r="D99" s="80"/>
      <c r="E99" s="594">
        <f>F99/720</f>
        <v>1.6666666666666666E-3</v>
      </c>
      <c r="F99" s="668">
        <f>VOLUME_large_SEK</f>
        <v>1.2</v>
      </c>
      <c r="G99" s="668"/>
      <c r="H99" s="665"/>
      <c r="I99" s="665"/>
      <c r="J99" s="290">
        <v>260</v>
      </c>
      <c r="K99" s="535" t="s">
        <v>71</v>
      </c>
      <c r="L99" s="291"/>
      <c r="M99" s="292"/>
      <c r="N99" s="293">
        <f>ROUNDUP(J99*F99,2)</f>
        <v>312</v>
      </c>
      <c r="O99" s="201"/>
      <c r="P99" s="219"/>
    </row>
    <row r="100" spans="2:25" s="192" customFormat="1" ht="25.5" customHeight="1">
      <c r="B100" s="508" t="s">
        <v>72</v>
      </c>
      <c r="C100" s="43" t="s">
        <v>70</v>
      </c>
      <c r="D100" s="81"/>
      <c r="E100" s="595">
        <f>F100/720</f>
        <v>5.0000000000000001E-3</v>
      </c>
      <c r="F100" s="669">
        <f>VOLUME_fast_SEK</f>
        <v>3.6</v>
      </c>
      <c r="G100" s="669"/>
      <c r="H100" s="659"/>
      <c r="I100" s="659"/>
      <c r="J100" s="294">
        <v>0</v>
      </c>
      <c r="K100" s="536" t="s">
        <v>71</v>
      </c>
      <c r="L100" s="295"/>
      <c r="M100" s="296"/>
      <c r="N100" s="297">
        <f>ROUNDUP(J100*F100,2)</f>
        <v>0</v>
      </c>
      <c r="O100" s="201"/>
      <c r="P100" s="219"/>
      <c r="Y100" s="200"/>
    </row>
    <row r="101" spans="2:25" ht="25.5" customHeight="1">
      <c r="B101" s="501" t="s">
        <v>234</v>
      </c>
      <c r="C101" s="573"/>
      <c r="D101" s="89"/>
      <c r="E101" s="89"/>
      <c r="F101" s="226"/>
      <c r="G101" s="227"/>
      <c r="H101" s="227"/>
      <c r="I101" s="298"/>
      <c r="J101" s="299" t="str">
        <f>SUM(J99:J100)&amp;" GB"</f>
        <v>260 GB</v>
      </c>
      <c r="K101" s="300"/>
      <c r="L101" s="227"/>
      <c r="M101" s="227"/>
      <c r="N101" s="90">
        <f>SUM(N99:N100)</f>
        <v>312</v>
      </c>
      <c r="O101" s="202"/>
      <c r="P101" s="205"/>
    </row>
    <row r="102" spans="2:25" ht="25.5" customHeight="1">
      <c r="B102" s="77"/>
      <c r="C102" s="580"/>
      <c r="D102" s="78"/>
      <c r="E102" s="78"/>
      <c r="F102" s="282"/>
      <c r="G102" s="282"/>
      <c r="H102" s="301"/>
      <c r="I102" s="301"/>
      <c r="J102" s="301"/>
      <c r="K102" s="302"/>
      <c r="L102" s="303"/>
      <c r="M102" s="304"/>
      <c r="N102" s="304"/>
      <c r="O102" s="202"/>
      <c r="P102" s="205"/>
    </row>
    <row r="103" spans="2:25" ht="25.5" customHeight="1">
      <c r="B103" s="77"/>
      <c r="C103" s="580"/>
      <c r="D103" s="78"/>
      <c r="E103" s="78"/>
      <c r="F103" s="282"/>
      <c r="G103" s="282"/>
      <c r="H103" s="301"/>
      <c r="I103" s="301"/>
      <c r="J103" s="301"/>
      <c r="K103" s="302"/>
      <c r="L103" s="303"/>
      <c r="M103" s="304"/>
      <c r="N103" s="304"/>
      <c r="O103" s="202"/>
      <c r="P103" s="205"/>
    </row>
    <row r="104" spans="2:25" s="187" customFormat="1" ht="25.5" customHeight="1">
      <c r="B104" s="77"/>
      <c r="C104" s="580"/>
      <c r="D104" s="78"/>
      <c r="E104" s="78"/>
      <c r="F104" s="282"/>
      <c r="G104" s="282"/>
      <c r="H104" s="301"/>
      <c r="I104" s="301"/>
      <c r="J104" s="301"/>
      <c r="K104" s="302"/>
      <c r="L104" s="303"/>
      <c r="M104" s="304"/>
      <c r="N104" s="304"/>
      <c r="P104" s="191"/>
    </row>
    <row r="105" spans="2:25" s="187" customFormat="1" ht="25.5" customHeight="1">
      <c r="B105" s="627" t="s">
        <v>361</v>
      </c>
      <c r="C105" s="627"/>
      <c r="D105" s="627"/>
      <c r="E105" s="627"/>
      <c r="F105" s="627"/>
      <c r="G105" s="627"/>
      <c r="H105" s="188"/>
      <c r="J105" s="189"/>
      <c r="K105" s="189"/>
      <c r="M105" s="190"/>
      <c r="N105" s="190"/>
      <c r="P105" s="191"/>
    </row>
    <row r="106" spans="2:25" s="187" customFormat="1" ht="25.5" customHeight="1">
      <c r="B106" s="627"/>
      <c r="C106" s="627"/>
      <c r="D106" s="627"/>
      <c r="E106" s="627"/>
      <c r="F106" s="627"/>
      <c r="G106" s="627"/>
      <c r="H106" s="188"/>
      <c r="J106" s="189"/>
      <c r="K106" s="189"/>
      <c r="M106" s="190"/>
      <c r="N106" s="190"/>
      <c r="P106" s="191"/>
    </row>
    <row r="107" spans="2:25" s="187" customFormat="1" ht="25.5" customHeight="1">
      <c r="B107" s="627"/>
      <c r="C107" s="627"/>
      <c r="D107" s="627"/>
      <c r="E107" s="627"/>
      <c r="F107" s="627"/>
      <c r="G107" s="627"/>
      <c r="H107" s="188"/>
      <c r="J107" s="189"/>
      <c r="K107" s="189"/>
      <c r="M107" s="190"/>
      <c r="N107" s="190"/>
      <c r="P107" s="191"/>
    </row>
    <row r="108" spans="2:25" s="187" customFormat="1" ht="25.5" customHeight="1">
      <c r="B108" s="660" t="s">
        <v>235</v>
      </c>
      <c r="C108" s="660"/>
      <c r="D108" s="660"/>
      <c r="E108" s="660"/>
      <c r="F108" s="660"/>
      <c r="H108" s="188"/>
      <c r="J108" s="189"/>
      <c r="K108" s="189"/>
      <c r="M108" s="190"/>
      <c r="N108" s="190"/>
      <c r="O108" s="194"/>
      <c r="P108" s="199"/>
    </row>
    <row r="109" spans="2:25" s="311" customFormat="1" ht="25.5" customHeight="1">
      <c r="B109" s="661" t="s">
        <v>362</v>
      </c>
      <c r="C109" s="661"/>
      <c r="D109" s="661"/>
      <c r="E109" s="661"/>
      <c r="F109" s="661"/>
      <c r="G109" s="305"/>
      <c r="H109" s="306"/>
      <c r="I109" s="305"/>
      <c r="J109" s="307"/>
      <c r="K109" s="308"/>
      <c r="L109" s="305"/>
      <c r="M109" s="309"/>
      <c r="N109" s="309"/>
      <c r="O109" s="305"/>
      <c r="P109" s="310"/>
    </row>
    <row r="110" spans="2:25" s="187" customFormat="1" ht="25.5" customHeight="1">
      <c r="B110" s="8" t="s">
        <v>217</v>
      </c>
      <c r="C110" s="568"/>
      <c r="D110" s="76"/>
      <c r="E110" s="76"/>
      <c r="F110" s="603"/>
      <c r="G110" s="194"/>
      <c r="H110" s="195"/>
      <c r="I110" s="194"/>
      <c r="J110" s="196"/>
      <c r="K110" s="197"/>
      <c r="L110" s="197"/>
      <c r="M110" s="194"/>
      <c r="N110" s="198"/>
      <c r="O110" s="198"/>
      <c r="P110" s="219"/>
      <c r="R110" s="192"/>
      <c r="S110" s="192"/>
    </row>
    <row r="111" spans="2:25" s="187" customFormat="1" ht="25.5" customHeight="1">
      <c r="B111" s="6"/>
      <c r="C111" s="6"/>
      <c r="D111" s="6"/>
      <c r="E111" s="6"/>
      <c r="F111" s="603"/>
      <c r="G111" s="194"/>
      <c r="H111" s="195"/>
      <c r="I111" s="194"/>
      <c r="J111" s="196"/>
      <c r="K111" s="197"/>
      <c r="L111" s="197"/>
      <c r="M111" s="194"/>
      <c r="N111" s="198"/>
      <c r="O111" s="198"/>
      <c r="P111" s="219"/>
      <c r="R111" s="192"/>
      <c r="S111" s="192"/>
    </row>
    <row r="112" spans="2:25" s="187" customFormat="1" ht="25.5" customHeight="1">
      <c r="B112" s="498" t="s">
        <v>219</v>
      </c>
      <c r="C112" s="570" t="s">
        <v>237</v>
      </c>
      <c r="D112" s="651" t="s">
        <v>363</v>
      </c>
      <c r="E112" s="651"/>
      <c r="F112" s="651"/>
      <c r="G112" s="651"/>
      <c r="H112" s="651"/>
      <c r="I112" s="651"/>
      <c r="J112" s="651"/>
      <c r="K112" s="651"/>
      <c r="L112" s="612"/>
      <c r="M112" s="284"/>
      <c r="N112" s="284"/>
      <c r="O112" s="198"/>
      <c r="P112" s="219"/>
      <c r="R112" s="192"/>
      <c r="S112" s="192"/>
    </row>
    <row r="113" spans="2:24" s="187" customFormat="1" ht="25.5" customHeight="1">
      <c r="B113" s="499" t="s">
        <v>79</v>
      </c>
      <c r="C113" s="571" t="s">
        <v>364</v>
      </c>
      <c r="D113" s="687">
        <f>S3_storage.50_SUNET</f>
        <v>0.35</v>
      </c>
      <c r="E113" s="687"/>
      <c r="F113" s="663"/>
      <c r="G113" s="663"/>
      <c r="H113" s="663"/>
      <c r="I113" s="663"/>
      <c r="J113" s="663"/>
      <c r="K113" s="663"/>
      <c r="L113" s="615"/>
      <c r="M113" s="312"/>
      <c r="N113" s="312"/>
      <c r="O113" s="198"/>
      <c r="P113" s="219"/>
      <c r="R113" s="192"/>
      <c r="S113" s="192"/>
    </row>
    <row r="114" spans="2:24" s="187" customFormat="1" ht="25.5" customHeight="1">
      <c r="B114" s="500" t="s">
        <v>79</v>
      </c>
      <c r="C114" s="572" t="s">
        <v>365</v>
      </c>
      <c r="D114" s="686">
        <f>S3_storage.100_SUNET</f>
        <v>0.19</v>
      </c>
      <c r="E114" s="686"/>
      <c r="F114" s="648"/>
      <c r="G114" s="648"/>
      <c r="H114" s="648"/>
      <c r="I114" s="648"/>
      <c r="J114" s="648"/>
      <c r="K114" s="648"/>
      <c r="L114" s="609"/>
      <c r="M114" s="313"/>
      <c r="N114" s="313"/>
      <c r="O114" s="198"/>
      <c r="P114" s="219"/>
      <c r="R114" s="192"/>
      <c r="S114" s="192"/>
    </row>
    <row r="115" spans="2:24" s="187" customFormat="1" ht="25.5" customHeight="1">
      <c r="B115" s="499" t="s">
        <v>79</v>
      </c>
      <c r="C115" s="571" t="s">
        <v>366</v>
      </c>
      <c r="D115" s="688">
        <f>S3_storage.500_SUNET</f>
        <v>0.1</v>
      </c>
      <c r="E115" s="688"/>
      <c r="F115" s="657"/>
      <c r="G115" s="657"/>
      <c r="H115" s="657"/>
      <c r="I115" s="657"/>
      <c r="J115" s="657"/>
      <c r="K115" s="657"/>
      <c r="L115" s="614"/>
      <c r="M115" s="314"/>
      <c r="N115" s="314"/>
      <c r="O115" s="198"/>
      <c r="P115" s="219"/>
      <c r="R115" s="192"/>
      <c r="S115" s="192"/>
    </row>
    <row r="116" spans="2:24" s="187" customFormat="1" ht="25.5" customHeight="1">
      <c r="B116" s="500" t="s">
        <v>79</v>
      </c>
      <c r="C116" s="572" t="s">
        <v>367</v>
      </c>
      <c r="D116" s="686">
        <f>S3_storage.1000_SUNET</f>
        <v>0.06</v>
      </c>
      <c r="E116" s="686"/>
      <c r="F116" s="648"/>
      <c r="G116" s="648"/>
      <c r="H116" s="648"/>
      <c r="I116" s="648"/>
      <c r="J116" s="648"/>
      <c r="K116" s="648"/>
      <c r="L116" s="609"/>
      <c r="M116" s="313"/>
      <c r="N116" s="313"/>
      <c r="O116" s="198"/>
      <c r="P116" s="219"/>
      <c r="R116" s="192"/>
      <c r="S116" s="192"/>
    </row>
    <row r="117" spans="2:24" s="187" customFormat="1" ht="25.5" customHeight="1">
      <c r="B117" s="499" t="s">
        <v>79</v>
      </c>
      <c r="C117" s="571" t="s">
        <v>84</v>
      </c>
      <c r="D117" s="689" t="str">
        <f>S3_storage.quote_SUNET</f>
        <v>Be om offert</v>
      </c>
      <c r="E117" s="689"/>
      <c r="F117" s="650"/>
      <c r="G117" s="650"/>
      <c r="H117" s="650"/>
      <c r="I117" s="650"/>
      <c r="J117" s="650"/>
      <c r="K117" s="650"/>
      <c r="L117" s="611"/>
      <c r="M117" s="315"/>
      <c r="N117" s="315"/>
      <c r="O117" s="198"/>
      <c r="P117" s="219"/>
      <c r="R117" s="192"/>
      <c r="S117" s="192"/>
    </row>
    <row r="118" spans="2:24" s="187" customFormat="1" ht="25.5" customHeight="1">
      <c r="B118" s="526"/>
      <c r="C118" s="581"/>
      <c r="D118" s="105"/>
      <c r="E118" s="105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219"/>
      <c r="R118" s="192"/>
      <c r="S118" s="192"/>
    </row>
    <row r="119" spans="2:24" s="261" customFormat="1" ht="25.5" customHeight="1">
      <c r="B119" s="527"/>
      <c r="C119" s="569"/>
      <c r="D119" s="140"/>
      <c r="E119" s="140"/>
      <c r="F119" s="603"/>
      <c r="G119" s="194"/>
      <c r="H119" s="195"/>
      <c r="I119" s="194"/>
      <c r="J119" s="196"/>
      <c r="K119" s="197"/>
      <c r="L119" s="197"/>
      <c r="M119" s="194"/>
      <c r="N119" s="198"/>
      <c r="O119" s="198"/>
      <c r="P119" s="316"/>
      <c r="R119" s="287"/>
      <c r="S119" s="287"/>
      <c r="T119" s="287"/>
      <c r="U119" s="287"/>
      <c r="V119" s="287"/>
      <c r="W119" s="287"/>
      <c r="X119" s="287"/>
    </row>
    <row r="120" spans="2:24" ht="25.5" customHeight="1">
      <c r="B120" s="498" t="s">
        <v>219</v>
      </c>
      <c r="C120" s="26"/>
      <c r="D120" s="26"/>
      <c r="E120" s="138" t="s">
        <v>221</v>
      </c>
      <c r="F120" s="651" t="s">
        <v>233</v>
      </c>
      <c r="G120" s="651"/>
      <c r="H120" s="285" t="s">
        <v>237</v>
      </c>
      <c r="I120" s="284"/>
      <c r="J120" s="284"/>
      <c r="K120" s="26" t="s">
        <v>368</v>
      </c>
      <c r="L120" s="284"/>
      <c r="M120" s="284"/>
      <c r="N120" s="612" t="s">
        <v>86</v>
      </c>
      <c r="O120" s="317"/>
      <c r="P120" s="219"/>
      <c r="R120" s="192"/>
      <c r="S120" s="192"/>
    </row>
    <row r="121" spans="2:24" s="268" customFormat="1" ht="25.5" customHeight="1">
      <c r="B121" s="528" t="s">
        <v>79</v>
      </c>
      <c r="C121" s="84"/>
      <c r="D121" s="84"/>
      <c r="E121" s="27">
        <f>F121/720</f>
        <v>4.861111111111111E-4</v>
      </c>
      <c r="F121" s="671" cm="1">
        <f t="array" ref="F121">_xlfn.IFS(H121&lt;=299,D113,H121&lt;1000,D114,H121&lt;2000,D115,H121&gt;=2000,D116)</f>
        <v>0.35</v>
      </c>
      <c r="G121" s="672"/>
      <c r="H121" s="318">
        <v>0</v>
      </c>
      <c r="I121" s="537" t="s">
        <v>87</v>
      </c>
      <c r="J121" s="320"/>
      <c r="K121" s="320" t="str" cm="1">
        <f t="array" ref="K121">_xlfn.IFS(H121&lt;=299,"6 månader",H121&lt;1000,"12 månader",H121&lt;2000,"12 månader",H121&gt;=2000,"36 månader")</f>
        <v>6 månader</v>
      </c>
      <c r="L121" s="320"/>
      <c r="M121" s="684">
        <f>ROUNDUP((H121*1000)*F121,2)</f>
        <v>0</v>
      </c>
      <c r="N121" s="684"/>
      <c r="O121" s="317"/>
      <c r="P121" s="281"/>
      <c r="R121" s="265"/>
      <c r="S121" s="265"/>
    </row>
    <row r="122" spans="2:24" ht="25.5" customHeight="1">
      <c r="B122" s="20" t="s">
        <v>88</v>
      </c>
      <c r="C122" s="574"/>
      <c r="D122" s="21"/>
      <c r="E122" s="21"/>
      <c r="F122" s="230"/>
      <c r="G122" s="231"/>
      <c r="H122" s="231"/>
      <c r="I122" s="231"/>
      <c r="J122" s="231"/>
      <c r="K122" s="323"/>
      <c r="L122" s="323"/>
      <c r="M122" s="685">
        <f>SUM(M121)</f>
        <v>0</v>
      </c>
      <c r="N122" s="685"/>
      <c r="O122" s="317"/>
      <c r="P122" s="219"/>
      <c r="R122" s="192"/>
      <c r="S122" s="192"/>
    </row>
    <row r="123" spans="2:24" ht="25.5" customHeight="1">
      <c r="B123" s="28"/>
      <c r="C123" s="582"/>
      <c r="D123" s="28"/>
      <c r="E123" s="28"/>
      <c r="F123" s="325"/>
      <c r="G123" s="326"/>
      <c r="H123" s="301"/>
      <c r="I123" s="301"/>
      <c r="J123" s="301"/>
      <c r="K123" s="327"/>
      <c r="L123" s="327"/>
      <c r="M123" s="304"/>
      <c r="N123" s="304"/>
      <c r="O123" s="317"/>
      <c r="P123" s="219"/>
      <c r="R123" s="192"/>
      <c r="S123" s="192"/>
    </row>
    <row r="124" spans="2:24" ht="25.5" customHeight="1">
      <c r="B124" s="28"/>
      <c r="C124" s="582"/>
      <c r="D124" s="28"/>
      <c r="E124" s="28"/>
      <c r="F124" s="325"/>
      <c r="G124" s="326"/>
      <c r="H124" s="301"/>
      <c r="I124" s="301"/>
      <c r="J124" s="301"/>
      <c r="K124" s="327"/>
      <c r="L124" s="327"/>
      <c r="M124" s="304"/>
      <c r="N124" s="304"/>
      <c r="O124" s="304"/>
      <c r="P124" s="219"/>
      <c r="R124" s="192"/>
      <c r="S124" s="192"/>
      <c r="V124" s="187"/>
    </row>
    <row r="125" spans="2:24" s="187" customFormat="1" ht="25.5" customHeight="1">
      <c r="B125" s="28"/>
      <c r="C125" s="582"/>
      <c r="D125" s="28"/>
      <c r="E125" s="28"/>
      <c r="F125" s="325"/>
      <c r="G125" s="326"/>
      <c r="H125" s="301"/>
      <c r="I125" s="301"/>
      <c r="J125" s="301"/>
      <c r="K125" s="327"/>
      <c r="L125" s="327"/>
      <c r="M125" s="304"/>
      <c r="N125" s="304"/>
      <c r="O125" s="304"/>
      <c r="P125" s="191"/>
    </row>
    <row r="126" spans="2:24" s="187" customFormat="1" ht="25.5" customHeight="1">
      <c r="B126" s="627" t="s">
        <v>89</v>
      </c>
      <c r="C126" s="627"/>
      <c r="D126" s="627"/>
      <c r="E126" s="627"/>
      <c r="F126" s="627"/>
      <c r="G126" s="627"/>
      <c r="H126" s="188"/>
      <c r="J126" s="189"/>
      <c r="K126" s="189"/>
      <c r="L126" s="189"/>
      <c r="N126" s="190"/>
      <c r="O126" s="190"/>
      <c r="P126" s="191"/>
    </row>
    <row r="127" spans="2:24" s="187" customFormat="1" ht="25.5" customHeight="1">
      <c r="B127" s="627"/>
      <c r="C127" s="627"/>
      <c r="D127" s="627"/>
      <c r="E127" s="627"/>
      <c r="F127" s="627"/>
      <c r="G127" s="627"/>
      <c r="H127" s="188"/>
      <c r="J127" s="189"/>
      <c r="K127" s="189"/>
      <c r="L127" s="189"/>
      <c r="N127" s="190"/>
      <c r="O127" s="190"/>
      <c r="P127" s="191"/>
    </row>
    <row r="128" spans="2:24" s="187" customFormat="1" ht="25.5" customHeight="1">
      <c r="B128" s="627"/>
      <c r="C128" s="627"/>
      <c r="D128" s="627"/>
      <c r="E128" s="627"/>
      <c r="F128" s="627"/>
      <c r="G128" s="627"/>
      <c r="H128" s="188"/>
      <c r="J128" s="189"/>
      <c r="K128" s="189"/>
      <c r="L128" s="189"/>
      <c r="N128" s="190"/>
      <c r="O128" s="190"/>
      <c r="P128" s="191"/>
    </row>
    <row r="129" spans="1:35" s="187" customFormat="1" ht="25.5" customHeight="1">
      <c r="B129" s="654" t="s">
        <v>90</v>
      </c>
      <c r="C129" s="654"/>
      <c r="D129" s="654"/>
      <c r="E129" s="654"/>
      <c r="F129" s="654"/>
      <c r="H129" s="188"/>
      <c r="J129" s="189"/>
      <c r="K129" s="189"/>
      <c r="L129" s="189"/>
      <c r="N129" s="190"/>
      <c r="O129" s="190"/>
      <c r="P129" s="199"/>
    </row>
    <row r="130" spans="1:35" s="187" customFormat="1" ht="25.5" customHeight="1">
      <c r="B130" s="629" t="s">
        <v>239</v>
      </c>
      <c r="C130" s="629"/>
      <c r="D130" s="629"/>
      <c r="E130" s="629"/>
      <c r="F130" s="629"/>
      <c r="G130" s="194"/>
      <c r="H130" s="195"/>
      <c r="I130" s="194"/>
      <c r="J130" s="196"/>
      <c r="K130" s="197"/>
      <c r="L130" s="197"/>
      <c r="M130" s="194"/>
      <c r="N130" s="198"/>
      <c r="O130" s="198"/>
      <c r="P130" s="199"/>
    </row>
    <row r="131" spans="1:35" s="201" customFormat="1" ht="25.5" customHeight="1">
      <c r="B131" s="8" t="s">
        <v>240</v>
      </c>
      <c r="C131" s="568"/>
      <c r="D131" s="76"/>
      <c r="E131" s="76"/>
      <c r="F131" s="603"/>
      <c r="G131" s="194"/>
      <c r="H131" s="195"/>
      <c r="I131" s="194"/>
      <c r="J131" s="196"/>
      <c r="K131" s="197"/>
      <c r="L131" s="197"/>
      <c r="M131" s="187"/>
      <c r="N131" s="198"/>
      <c r="O131" s="198"/>
      <c r="P131" s="219"/>
      <c r="R131" s="192"/>
      <c r="S131" s="192"/>
      <c r="T131" s="192"/>
      <c r="U131" s="192"/>
      <c r="V131" s="192"/>
      <c r="W131" s="192"/>
      <c r="X131" s="192"/>
      <c r="AA131" s="202"/>
      <c r="AB131" s="202"/>
      <c r="AC131" s="202"/>
    </row>
    <row r="132" spans="1:35" s="261" customFormat="1" ht="25.5" customHeight="1">
      <c r="A132" s="328"/>
      <c r="B132" s="29"/>
      <c r="C132" s="9"/>
      <c r="D132" s="9"/>
      <c r="E132" s="9"/>
      <c r="F132" s="201"/>
      <c r="G132" s="201"/>
      <c r="H132" s="201"/>
      <c r="I132" s="201"/>
      <c r="J132" s="201"/>
      <c r="K132" s="201"/>
      <c r="L132" s="201"/>
      <c r="M132" s="168"/>
      <c r="N132" s="271"/>
      <c r="O132" s="271"/>
      <c r="P132" s="316"/>
      <c r="S132" s="287"/>
      <c r="T132" s="287"/>
      <c r="U132" s="287"/>
      <c r="V132" s="287"/>
      <c r="W132" s="287"/>
      <c r="X132" s="287"/>
    </row>
    <row r="133" spans="1:35" ht="25">
      <c r="A133" s="329"/>
      <c r="B133" s="498" t="s">
        <v>219</v>
      </c>
      <c r="C133" s="651" t="s">
        <v>241</v>
      </c>
      <c r="D133" s="651"/>
      <c r="E133" s="138" t="s">
        <v>221</v>
      </c>
      <c r="F133" s="651" t="s">
        <v>233</v>
      </c>
      <c r="G133" s="651"/>
      <c r="H133" s="285" t="s">
        <v>93</v>
      </c>
      <c r="I133" s="284"/>
      <c r="J133" s="649" t="s">
        <v>242</v>
      </c>
      <c r="K133" s="649"/>
      <c r="L133" s="610"/>
      <c r="M133" s="284"/>
      <c r="N133" s="612" t="s">
        <v>95</v>
      </c>
      <c r="O133" s="271"/>
      <c r="P133" s="205"/>
    </row>
    <row r="134" spans="1:35" ht="25.5" customHeight="1">
      <c r="A134" s="329"/>
      <c r="B134" s="604" t="s">
        <v>96</v>
      </c>
      <c r="C134" s="539"/>
      <c r="D134" s="31" t="s">
        <v>97</v>
      </c>
      <c r="E134" s="31" t="s">
        <v>97</v>
      </c>
      <c r="F134" s="676">
        <f>BAAS_on.demand_SEK</f>
        <v>2.4500000000000002</v>
      </c>
      <c r="G134" s="677"/>
      <c r="H134" s="330">
        <v>0</v>
      </c>
      <c r="I134" s="535" t="s">
        <v>71</v>
      </c>
      <c r="J134" s="636" t="s">
        <v>97</v>
      </c>
      <c r="K134" s="636"/>
      <c r="L134" s="331"/>
      <c r="M134" s="291"/>
      <c r="N134" s="293">
        <f>ROUNDUP(H134*F134,2)</f>
        <v>0</v>
      </c>
      <c r="O134" s="271"/>
      <c r="P134" s="205"/>
    </row>
    <row r="135" spans="1:35" ht="25.5" customHeight="1">
      <c r="A135" s="329"/>
      <c r="B135" s="606" t="s">
        <v>98</v>
      </c>
      <c r="C135" s="541"/>
      <c r="D135" s="33">
        <v>5500</v>
      </c>
      <c r="E135" s="34" t="s">
        <v>97</v>
      </c>
      <c r="F135" s="679">
        <f>BAAS_small_SEK</f>
        <v>1.75</v>
      </c>
      <c r="G135" s="680"/>
      <c r="H135" s="332">
        <v>0</v>
      </c>
      <c r="I135" s="536" t="s">
        <v>71</v>
      </c>
      <c r="J135" s="640">
        <v>0.75</v>
      </c>
      <c r="K135" s="641"/>
      <c r="L135" s="295"/>
      <c r="M135" s="295"/>
      <c r="N135" s="297">
        <f>IF(H135&gt;0,IF(SUM($D$135+($F$135*((H135*(1-$J$135))-1000)))&lt;=D135,$D$135,$D$135+($F$135*((H135*(1-$J$135))-1000))),0)</f>
        <v>0</v>
      </c>
      <c r="O135" s="271"/>
      <c r="P135" s="205"/>
    </row>
    <row r="136" spans="1:35" s="336" customFormat="1" ht="25.5" customHeight="1">
      <c r="A136" s="333"/>
      <c r="B136" s="608" t="s">
        <v>99</v>
      </c>
      <c r="C136" s="540"/>
      <c r="D136" s="35">
        <v>9500</v>
      </c>
      <c r="E136" s="37" t="s">
        <v>97</v>
      </c>
      <c r="F136" s="681">
        <f>BAAS_large_SEK</f>
        <v>0.92</v>
      </c>
      <c r="G136" s="682"/>
      <c r="H136" s="318">
        <v>0</v>
      </c>
      <c r="I136" s="537" t="s">
        <v>71</v>
      </c>
      <c r="J136" s="645">
        <v>0.75</v>
      </c>
      <c r="K136" s="646"/>
      <c r="L136" s="319"/>
      <c r="M136" s="319"/>
      <c r="N136" s="322">
        <f>IF(H136&gt;0,$D$136+($F$136*(H136*(1-$J$136))),0)</f>
        <v>0</v>
      </c>
      <c r="O136" s="271"/>
      <c r="P136" s="335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</row>
    <row r="137" spans="1:35" s="336" customFormat="1" ht="25.5" customHeight="1">
      <c r="A137" s="333"/>
      <c r="B137" s="20" t="s">
        <v>88</v>
      </c>
      <c r="C137" s="574"/>
      <c r="D137" s="21"/>
      <c r="E137" s="21"/>
      <c r="F137" s="230"/>
      <c r="G137" s="231"/>
      <c r="H137" s="299" t="str">
        <f>SUM(H134:H136)&amp;" GB"</f>
        <v>0 GB</v>
      </c>
      <c r="I137" s="231"/>
      <c r="J137" s="231"/>
      <c r="K137" s="323"/>
      <c r="L137" s="323"/>
      <c r="N137" s="90">
        <f>SUM(N134:N136)</f>
        <v>0</v>
      </c>
      <c r="O137" s="271"/>
      <c r="P137" s="335"/>
      <c r="R137" s="337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</row>
    <row r="138" spans="1:35" s="336" customFormat="1" ht="25.5" customHeight="1">
      <c r="A138" s="333"/>
      <c r="B138" s="20"/>
      <c r="C138" s="574"/>
      <c r="D138" s="21"/>
      <c r="E138" s="21"/>
      <c r="F138" s="230"/>
      <c r="G138" s="231"/>
      <c r="H138" s="231"/>
      <c r="I138" s="231"/>
      <c r="J138" s="231"/>
      <c r="K138" s="323"/>
      <c r="L138" s="323"/>
      <c r="M138" s="50"/>
      <c r="N138" s="50"/>
      <c r="O138" s="271"/>
      <c r="P138" s="335"/>
      <c r="R138" s="337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</row>
    <row r="139" spans="1:35" s="336" customFormat="1" ht="25.5" customHeight="1">
      <c r="A139" s="333"/>
      <c r="B139" s="30" t="s">
        <v>243</v>
      </c>
      <c r="C139" s="574"/>
      <c r="D139" s="21"/>
      <c r="E139" s="21"/>
      <c r="F139" s="230"/>
      <c r="G139" s="231"/>
      <c r="H139" s="231"/>
      <c r="I139" s="231"/>
      <c r="J139" s="231"/>
      <c r="K139" s="323"/>
      <c r="L139" s="323"/>
      <c r="M139" s="50"/>
      <c r="N139" s="50"/>
      <c r="O139" s="50"/>
      <c r="P139" s="335"/>
      <c r="R139" s="337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</row>
    <row r="140" spans="1:35" ht="25.5" customHeight="1">
      <c r="B140" s="30" t="s">
        <v>244</v>
      </c>
      <c r="C140" s="574"/>
      <c r="D140" s="21"/>
      <c r="E140" s="21"/>
      <c r="F140" s="230"/>
      <c r="G140" s="231"/>
      <c r="H140" s="231"/>
      <c r="I140" s="231"/>
      <c r="J140" s="231"/>
      <c r="K140" s="323"/>
      <c r="L140" s="323"/>
      <c r="M140" s="50"/>
      <c r="N140" s="50"/>
      <c r="O140" s="50"/>
      <c r="P140" s="219"/>
      <c r="R140" s="192"/>
      <c r="S140" s="192"/>
    </row>
    <row r="141" spans="1:35" ht="25.5" customHeight="1">
      <c r="B141" s="30" t="s">
        <v>245</v>
      </c>
      <c r="C141" s="582"/>
      <c r="D141" s="28"/>
      <c r="E141" s="28"/>
      <c r="F141" s="325"/>
      <c r="G141" s="326"/>
      <c r="H141" s="301"/>
      <c r="I141" s="301"/>
      <c r="J141" s="301"/>
      <c r="K141" s="327"/>
      <c r="L141" s="327"/>
      <c r="M141" s="304"/>
      <c r="N141" s="304"/>
      <c r="O141" s="304"/>
      <c r="P141" s="219"/>
      <c r="R141" s="192"/>
      <c r="S141" s="192"/>
    </row>
    <row r="142" spans="1:35" ht="25.5" customHeight="1">
      <c r="B142" s="30" t="s">
        <v>246</v>
      </c>
      <c r="C142" s="582"/>
      <c r="D142" s="28"/>
      <c r="E142" s="28"/>
      <c r="F142" s="325"/>
      <c r="G142" s="326"/>
      <c r="H142" s="301"/>
      <c r="I142" s="301"/>
      <c r="J142" s="301"/>
      <c r="K142" s="327"/>
      <c r="L142" s="304"/>
      <c r="M142" s="304"/>
      <c r="N142" s="304"/>
      <c r="O142" s="201"/>
      <c r="P142" s="219"/>
      <c r="Q142" s="192"/>
      <c r="R142" s="192"/>
    </row>
    <row r="143" spans="1:35" ht="25.5" customHeight="1">
      <c r="B143" s="30"/>
      <c r="C143" s="582"/>
      <c r="D143" s="28"/>
      <c r="E143" s="28"/>
      <c r="F143" s="325"/>
      <c r="G143" s="326"/>
      <c r="H143" s="301"/>
      <c r="I143" s="301"/>
      <c r="J143" s="301"/>
      <c r="K143" s="327"/>
      <c r="L143" s="304"/>
      <c r="M143" s="304"/>
      <c r="N143" s="304"/>
      <c r="O143" s="201"/>
      <c r="P143" s="219"/>
      <c r="Q143" s="192"/>
      <c r="R143" s="192"/>
    </row>
    <row r="144" spans="1:35" ht="25.5" customHeight="1">
      <c r="B144" s="30"/>
      <c r="C144" s="582"/>
      <c r="D144" s="28"/>
      <c r="E144" s="28"/>
      <c r="F144" s="325"/>
      <c r="G144" s="326"/>
      <c r="H144" s="301"/>
      <c r="I144" s="301"/>
      <c r="J144" s="301"/>
      <c r="K144" s="327"/>
      <c r="L144" s="304"/>
      <c r="M144" s="304"/>
      <c r="N144" s="304"/>
      <c r="O144" s="201"/>
      <c r="P144" s="219"/>
      <c r="Q144" s="192"/>
      <c r="R144" s="192"/>
    </row>
    <row r="145" spans="1:23" ht="25.5" customHeight="1">
      <c r="B145" s="30"/>
      <c r="C145" s="582"/>
      <c r="D145" s="28"/>
      <c r="E145" s="28"/>
      <c r="F145" s="325"/>
      <c r="G145" s="326"/>
      <c r="H145" s="301"/>
      <c r="I145" s="301"/>
      <c r="J145" s="301"/>
      <c r="K145" s="327"/>
      <c r="L145" s="304"/>
      <c r="M145" s="304"/>
      <c r="N145" s="304"/>
      <c r="O145" s="201"/>
      <c r="P145" s="219"/>
      <c r="Q145" s="192"/>
      <c r="R145" s="192"/>
    </row>
    <row r="146" spans="1:23" ht="25.5" customHeight="1">
      <c r="A146" s="369"/>
      <c r="B146" s="68"/>
      <c r="C146" s="583"/>
      <c r="D146" s="62"/>
      <c r="E146" s="62"/>
      <c r="F146" s="370"/>
      <c r="G146" s="371"/>
      <c r="H146" s="372"/>
      <c r="I146" s="372"/>
      <c r="J146" s="372"/>
      <c r="K146" s="373"/>
      <c r="L146" s="374"/>
      <c r="M146" s="374"/>
      <c r="N146" s="374"/>
      <c r="O146" s="375"/>
      <c r="P146" s="219"/>
      <c r="Q146" s="192"/>
      <c r="R146" s="192"/>
    </row>
    <row r="147" spans="1:23" s="187" customFormat="1" ht="25.5" customHeight="1">
      <c r="A147" s="169"/>
      <c r="B147" s="56"/>
      <c r="C147" s="584"/>
      <c r="D147" s="56"/>
      <c r="E147" s="56"/>
      <c r="F147" s="376"/>
      <c r="G147" s="377"/>
      <c r="H147" s="378"/>
      <c r="I147" s="378"/>
      <c r="J147" s="378"/>
      <c r="K147" s="379"/>
      <c r="L147" s="380"/>
      <c r="M147" s="380"/>
      <c r="N147" s="380"/>
      <c r="O147" s="169"/>
      <c r="P147" s="191"/>
    </row>
    <row r="148" spans="1:23" s="187" customFormat="1" ht="25.5" customHeight="1">
      <c r="A148" s="169"/>
      <c r="B148" s="56"/>
      <c r="C148" s="584"/>
      <c r="D148" s="56"/>
      <c r="E148" s="56"/>
      <c r="F148" s="376"/>
      <c r="G148" s="377"/>
      <c r="H148" s="378"/>
      <c r="I148" s="378"/>
      <c r="J148" s="378"/>
      <c r="K148" s="379"/>
      <c r="L148" s="380"/>
      <c r="M148" s="380"/>
      <c r="N148" s="380"/>
      <c r="O148" s="169"/>
      <c r="P148" s="191"/>
    </row>
    <row r="149" spans="1:23" s="187" customFormat="1" ht="25.5" customHeight="1">
      <c r="A149" s="169"/>
      <c r="B149" s="56"/>
      <c r="C149" s="584"/>
      <c r="D149" s="56"/>
      <c r="E149" s="56"/>
      <c r="F149" s="376"/>
      <c r="G149" s="377"/>
      <c r="H149" s="378"/>
      <c r="I149" s="378"/>
      <c r="J149" s="378"/>
      <c r="K149" s="379"/>
      <c r="L149" s="380"/>
      <c r="M149" s="380"/>
      <c r="N149" s="380"/>
      <c r="O149" s="169"/>
      <c r="P149" s="191"/>
    </row>
    <row r="150" spans="1:23" s="187" customFormat="1" ht="25.5" customHeight="1">
      <c r="A150" s="169"/>
      <c r="B150" s="630" t="s">
        <v>276</v>
      </c>
      <c r="C150" s="630"/>
      <c r="D150" s="630"/>
      <c r="E150" s="630"/>
      <c r="F150" s="630"/>
      <c r="G150" s="630"/>
      <c r="H150" s="172"/>
      <c r="I150" s="169"/>
      <c r="J150" s="173"/>
      <c r="K150" s="173"/>
      <c r="L150" s="169"/>
      <c r="M150" s="174"/>
      <c r="N150" s="174"/>
      <c r="O150" s="169"/>
      <c r="P150" s="191"/>
    </row>
    <row r="151" spans="1:23" s="187" customFormat="1" ht="25.5" customHeight="1">
      <c r="A151" s="169"/>
      <c r="B151" s="630"/>
      <c r="C151" s="630"/>
      <c r="D151" s="630"/>
      <c r="E151" s="630"/>
      <c r="F151" s="630"/>
      <c r="G151" s="630"/>
      <c r="H151" s="172"/>
      <c r="I151" s="169"/>
      <c r="J151" s="173"/>
      <c r="K151" s="173"/>
      <c r="L151" s="169"/>
      <c r="M151" s="174"/>
      <c r="N151" s="174"/>
      <c r="O151" s="169"/>
      <c r="P151" s="191"/>
    </row>
    <row r="152" spans="1:23" s="187" customFormat="1" ht="25.5" customHeight="1">
      <c r="A152" s="169"/>
      <c r="B152" s="630"/>
      <c r="C152" s="630"/>
      <c r="D152" s="630"/>
      <c r="E152" s="630"/>
      <c r="F152" s="630"/>
      <c r="G152" s="630"/>
      <c r="H152" s="172"/>
      <c r="I152" s="169"/>
      <c r="J152" s="173"/>
      <c r="K152" s="173"/>
      <c r="L152" s="169"/>
      <c r="M152" s="174"/>
      <c r="N152" s="174"/>
      <c r="O152" s="169"/>
      <c r="P152" s="191"/>
    </row>
    <row r="153" spans="1:23" s="187" customFormat="1" ht="25.5" customHeight="1">
      <c r="A153" s="169"/>
      <c r="B153" s="670" t="s">
        <v>239</v>
      </c>
      <c r="C153" s="670"/>
      <c r="D153" s="670"/>
      <c r="E153" s="670"/>
      <c r="F153" s="670"/>
      <c r="G153" s="169"/>
      <c r="H153" s="172"/>
      <c r="I153" s="169"/>
      <c r="J153" s="173"/>
      <c r="K153" s="173"/>
      <c r="L153" s="169"/>
      <c r="M153" s="174"/>
      <c r="N153" s="174"/>
      <c r="O153" s="381"/>
      <c r="P153" s="199"/>
    </row>
    <row r="154" spans="1:23" s="187" customFormat="1" ht="25.5" customHeight="1">
      <c r="A154" s="169"/>
      <c r="B154" s="64"/>
      <c r="C154" s="3"/>
      <c r="D154" s="64"/>
      <c r="E154" s="64"/>
      <c r="F154" s="170"/>
      <c r="G154" s="169"/>
      <c r="H154" s="172"/>
      <c r="I154" s="169"/>
      <c r="J154" s="173"/>
      <c r="K154" s="173"/>
      <c r="L154" s="169"/>
      <c r="M154" s="174"/>
      <c r="N154" s="174"/>
      <c r="O154" s="381"/>
      <c r="P154" s="199"/>
    </row>
    <row r="155" spans="1:23" s="187" customFormat="1" ht="25.5" customHeight="1">
      <c r="A155" s="169"/>
      <c r="B155" s="70" t="s">
        <v>277</v>
      </c>
      <c r="C155" s="3"/>
      <c r="D155" s="64"/>
      <c r="E155" s="64"/>
      <c r="F155" s="170"/>
      <c r="G155" s="169"/>
      <c r="H155" s="172"/>
      <c r="I155" s="169"/>
      <c r="J155" s="173"/>
      <c r="K155" s="173"/>
      <c r="L155" s="169"/>
      <c r="M155" s="174"/>
      <c r="N155" s="174"/>
      <c r="O155" s="381"/>
      <c r="P155" s="199"/>
    </row>
    <row r="156" spans="1:23" s="187" customFormat="1" ht="25.5" customHeight="1">
      <c r="A156" s="169"/>
      <c r="B156" s="464" t="s">
        <v>213</v>
      </c>
      <c r="C156" s="3"/>
      <c r="D156" s="64"/>
      <c r="E156" s="64"/>
      <c r="F156" s="170"/>
      <c r="G156" s="169"/>
      <c r="H156" s="172"/>
      <c r="I156" s="169"/>
      <c r="J156" s="173"/>
      <c r="K156" s="173"/>
      <c r="L156" s="169"/>
      <c r="M156" s="174"/>
      <c r="N156" s="174"/>
      <c r="O156" s="381"/>
      <c r="P156" s="199"/>
    </row>
    <row r="157" spans="1:23" s="187" customFormat="1" ht="25.5" customHeight="1">
      <c r="A157" s="169"/>
      <c r="B157" s="71" t="s">
        <v>204</v>
      </c>
      <c r="C157" s="69"/>
      <c r="D157" s="69"/>
      <c r="E157" s="69"/>
      <c r="F157" s="382"/>
      <c r="G157" s="381"/>
      <c r="H157" s="383"/>
      <c r="I157" s="381"/>
      <c r="J157" s="384"/>
      <c r="K157" s="385"/>
      <c r="L157" s="381"/>
      <c r="M157" s="386"/>
      <c r="N157" s="386"/>
      <c r="O157" s="381"/>
      <c r="P157" s="199"/>
    </row>
    <row r="158" spans="1:23" s="261" customFormat="1" ht="25.5" customHeight="1">
      <c r="A158" s="387"/>
      <c r="B158" s="142"/>
      <c r="C158" s="69"/>
      <c r="D158" s="142"/>
      <c r="E158" s="142"/>
      <c r="F158" s="616"/>
      <c r="G158" s="381"/>
      <c r="H158" s="383"/>
      <c r="I158" s="381"/>
      <c r="J158" s="384"/>
      <c r="K158" s="385"/>
      <c r="L158" s="381"/>
      <c r="M158" s="386"/>
      <c r="N158" s="386"/>
      <c r="O158" s="387"/>
      <c r="P158" s="316"/>
      <c r="Q158" s="388"/>
      <c r="R158" s="287"/>
      <c r="S158" s="287"/>
      <c r="T158" s="287"/>
      <c r="U158" s="287"/>
      <c r="V158" s="287"/>
      <c r="W158" s="287"/>
    </row>
    <row r="159" spans="1:23" ht="25.5" customHeight="1">
      <c r="A159" s="389"/>
      <c r="B159" s="57" t="s">
        <v>278</v>
      </c>
      <c r="C159" s="58"/>
      <c r="D159" s="59"/>
      <c r="E159" s="58"/>
      <c r="F159" s="391"/>
      <c r="G159" s="391"/>
      <c r="H159" s="391"/>
      <c r="I159" s="391"/>
      <c r="J159" s="391"/>
      <c r="K159" s="390"/>
      <c r="L159" s="390"/>
      <c r="M159" s="391" t="s">
        <v>276</v>
      </c>
      <c r="N159" s="392"/>
      <c r="O159" s="393"/>
      <c r="P159" s="205"/>
      <c r="Q159" s="337"/>
    </row>
    <row r="160" spans="1:23" ht="25.5" customHeight="1">
      <c r="A160" s="389"/>
      <c r="B160" s="632" t="s">
        <v>207</v>
      </c>
      <c r="C160" s="632"/>
      <c r="D160" s="72"/>
      <c r="E160" s="73"/>
      <c r="F160" s="394"/>
      <c r="G160" s="395"/>
      <c r="H160" s="395"/>
      <c r="I160" s="395"/>
      <c r="J160" s="395"/>
      <c r="K160" s="558"/>
      <c r="L160" s="558"/>
      <c r="M160" s="395">
        <f>M86+M94+M60+M36+N101</f>
        <v>312</v>
      </c>
      <c r="N160" s="293"/>
      <c r="O160" s="389"/>
      <c r="P160" s="205"/>
      <c r="Q160" s="337"/>
    </row>
    <row r="161" spans="1:17" ht="25.5" customHeight="1">
      <c r="A161" s="389"/>
      <c r="B161" s="624" t="s">
        <v>208</v>
      </c>
      <c r="C161" s="624"/>
      <c r="D161" s="74"/>
      <c r="E161" s="75"/>
      <c r="F161" s="398"/>
      <c r="G161" s="399"/>
      <c r="H161" s="399"/>
      <c r="I161" s="399"/>
      <c r="J161" s="399"/>
      <c r="K161" s="559"/>
      <c r="L161" s="559"/>
      <c r="M161" s="399">
        <f>M122</f>
        <v>0</v>
      </c>
      <c r="N161" s="293"/>
      <c r="O161" s="389"/>
      <c r="P161" s="205"/>
      <c r="Q161" s="337"/>
    </row>
    <row r="162" spans="1:17" ht="25.5" customHeight="1">
      <c r="A162" s="389"/>
      <c r="B162" s="143" t="s">
        <v>209</v>
      </c>
      <c r="C162" s="565"/>
      <c r="D162" s="74"/>
      <c r="E162" s="75"/>
      <c r="F162" s="398"/>
      <c r="G162" s="399"/>
      <c r="H162" s="399"/>
      <c r="I162" s="399"/>
      <c r="J162" s="399"/>
      <c r="K162" s="559"/>
      <c r="L162" s="559"/>
      <c r="M162" s="399">
        <f>N137</f>
        <v>0</v>
      </c>
      <c r="N162" s="293"/>
      <c r="O162" s="389"/>
      <c r="P162" s="205"/>
      <c r="Q162" s="337"/>
    </row>
    <row r="163" spans="1:17" s="404" customFormat="1" ht="25.5" customHeight="1">
      <c r="A163" s="402"/>
      <c r="B163" s="691" t="s">
        <v>210</v>
      </c>
      <c r="C163" s="691"/>
      <c r="D163" s="35"/>
      <c r="E163" s="36"/>
      <c r="F163" s="334"/>
      <c r="G163" s="621"/>
      <c r="H163" s="621"/>
      <c r="I163" s="621"/>
      <c r="J163" s="621"/>
      <c r="K163" s="560"/>
      <c r="L163" s="560"/>
      <c r="M163" s="621">
        <f>N86+N94+N60+N36</f>
        <v>0</v>
      </c>
      <c r="N163" s="293"/>
      <c r="O163" s="402"/>
      <c r="P163" s="403"/>
    </row>
    <row r="164" spans="1:17" ht="25.5" customHeight="1">
      <c r="A164" s="389"/>
      <c r="B164" s="60" t="s">
        <v>88</v>
      </c>
      <c r="C164" s="585"/>
      <c r="D164" s="61"/>
      <c r="E164" s="61"/>
      <c r="F164" s="405"/>
      <c r="G164" s="406"/>
      <c r="H164" s="406"/>
      <c r="I164" s="406"/>
      <c r="J164" s="690">
        <f>SUM(M160:M163)</f>
        <v>312</v>
      </c>
      <c r="K164" s="690"/>
      <c r="L164" s="690"/>
      <c r="M164" s="690"/>
      <c r="N164" s="407"/>
      <c r="O164" s="389"/>
      <c r="P164" s="205"/>
    </row>
    <row r="165" spans="1:17" ht="25.5" customHeight="1">
      <c r="A165" s="389"/>
      <c r="B165" s="60"/>
      <c r="C165" s="585"/>
      <c r="D165" s="61"/>
      <c r="E165" s="61"/>
      <c r="F165" s="405"/>
      <c r="G165" s="406"/>
      <c r="H165" s="406"/>
      <c r="I165" s="406"/>
      <c r="J165" s="407"/>
      <c r="K165" s="407"/>
      <c r="L165" s="407"/>
      <c r="M165" s="407"/>
      <c r="N165" s="407"/>
      <c r="O165" s="389"/>
      <c r="P165" s="205"/>
    </row>
    <row r="166" spans="1:17" ht="25.5" customHeight="1">
      <c r="A166" s="389"/>
      <c r="B166" s="557" t="s">
        <v>369</v>
      </c>
      <c r="C166" s="565"/>
      <c r="D166" s="565"/>
      <c r="E166" s="75"/>
      <c r="F166" s="398"/>
      <c r="G166" s="399"/>
      <c r="H166" s="399"/>
      <c r="I166" s="399"/>
      <c r="J166" s="399"/>
      <c r="K166" s="400"/>
      <c r="L166" s="400"/>
      <c r="M166" s="399">
        <f>M160*0.88+M161+M162+M163</f>
        <v>274.56</v>
      </c>
      <c r="N166" s="293"/>
      <c r="O166" s="389"/>
      <c r="P166" s="205"/>
      <c r="Q166" s="337"/>
    </row>
    <row r="167" spans="1:17" ht="25.5" customHeight="1">
      <c r="A167" s="389"/>
      <c r="B167" s="557" t="s">
        <v>370</v>
      </c>
      <c r="C167" s="565"/>
      <c r="D167" s="565"/>
      <c r="E167" s="75"/>
      <c r="F167" s="398"/>
      <c r="G167" s="399"/>
      <c r="H167" s="399"/>
      <c r="I167" s="399"/>
      <c r="J167" s="399"/>
      <c r="K167" s="400"/>
      <c r="L167" s="400"/>
      <c r="M167" s="399">
        <f>M160*0.76+M161+M162+M163</f>
        <v>237.12</v>
      </c>
      <c r="N167" s="293"/>
      <c r="O167" s="389"/>
      <c r="P167" s="205"/>
      <c r="Q167" s="337"/>
    </row>
    <row r="168" spans="1:17" ht="25.5" customHeight="1">
      <c r="A168" s="389"/>
      <c r="B168" s="32"/>
      <c r="C168" s="41"/>
      <c r="D168" s="38"/>
      <c r="E168" s="39"/>
      <c r="F168" s="342"/>
      <c r="G168" s="619"/>
      <c r="H168" s="341"/>
      <c r="I168" s="291"/>
      <c r="J168" s="408"/>
      <c r="K168" s="291"/>
      <c r="L168" s="409"/>
      <c r="M168" s="293"/>
      <c r="N168" s="293"/>
      <c r="O168" s="389"/>
      <c r="P168" s="205"/>
    </row>
    <row r="169" spans="1:17" ht="25.5" customHeight="1">
      <c r="A169" s="410"/>
      <c r="B169" s="44"/>
      <c r="C169" s="586"/>
      <c r="D169" s="35"/>
      <c r="E169" s="36"/>
      <c r="F169" s="412"/>
      <c r="G169" s="621"/>
      <c r="H169" s="411"/>
      <c r="I169" s="319"/>
      <c r="J169" s="413"/>
      <c r="K169" s="319"/>
      <c r="L169" s="414"/>
      <c r="M169" s="322"/>
      <c r="N169" s="322"/>
      <c r="O169" s="415"/>
      <c r="P169" s="205"/>
    </row>
    <row r="170" spans="1:17" s="416" customFormat="1" ht="24" customHeight="1">
      <c r="B170" s="112"/>
      <c r="C170" s="587"/>
      <c r="D170" s="113"/>
      <c r="E170" s="114"/>
      <c r="F170" s="418"/>
      <c r="G170" s="419"/>
      <c r="H170" s="417"/>
      <c r="I170" s="420"/>
      <c r="J170" s="421"/>
      <c r="K170" s="420"/>
      <c r="L170" s="422"/>
      <c r="M170" s="423"/>
      <c r="N170" s="423"/>
      <c r="O170" s="424"/>
    </row>
    <row r="171" spans="1:17" s="416" customFormat="1" ht="24" customHeight="1">
      <c r="B171" s="112"/>
      <c r="C171" s="587"/>
      <c r="D171" s="112"/>
      <c r="E171" s="112"/>
      <c r="F171" s="425"/>
      <c r="G171" s="426"/>
      <c r="H171" s="427"/>
      <c r="I171" s="427"/>
      <c r="J171" s="427"/>
      <c r="K171" s="428"/>
      <c r="L171" s="423"/>
      <c r="M171" s="423"/>
      <c r="N171" s="423"/>
      <c r="O171" s="424"/>
    </row>
    <row r="172" spans="1:17" s="416" customFormat="1" ht="24" customHeight="1">
      <c r="B172" s="112"/>
      <c r="C172" s="587"/>
      <c r="D172" s="112"/>
      <c r="E172" s="112"/>
      <c r="F172" s="425"/>
      <c r="G172" s="426"/>
      <c r="H172" s="427"/>
      <c r="I172" s="427"/>
      <c r="J172" s="427"/>
      <c r="K172" s="428"/>
      <c r="L172" s="423"/>
      <c r="M172" s="423"/>
      <c r="N172" s="423"/>
      <c r="O172" s="424"/>
    </row>
    <row r="173" spans="1:17" s="416" customFormat="1" ht="24" customHeight="1">
      <c r="B173" s="112"/>
      <c r="C173" s="587"/>
      <c r="D173" s="112"/>
      <c r="E173" s="112"/>
      <c r="F173" s="425"/>
      <c r="G173" s="426"/>
      <c r="H173" s="427"/>
      <c r="I173" s="427"/>
      <c r="J173" s="427"/>
      <c r="K173" s="428"/>
      <c r="L173" s="423"/>
      <c r="M173" s="423"/>
      <c r="N173" s="423"/>
      <c r="O173" s="424"/>
    </row>
    <row r="174" spans="1:17" s="416" customFormat="1" ht="24" customHeight="1">
      <c r="B174" s="112"/>
      <c r="C174" s="587"/>
      <c r="D174" s="112"/>
      <c r="E174" s="112"/>
      <c r="F174" s="425"/>
      <c r="G174" s="426"/>
      <c r="H174" s="427"/>
      <c r="I174" s="427"/>
      <c r="J174" s="427"/>
      <c r="K174" s="428"/>
      <c r="L174" s="423"/>
      <c r="M174" s="423"/>
      <c r="N174" s="423"/>
      <c r="O174" s="424"/>
    </row>
    <row r="175" spans="1:17" s="416" customFormat="1" ht="24" customHeight="1">
      <c r="B175" s="112"/>
      <c r="C175" s="587"/>
      <c r="D175" s="112"/>
      <c r="E175" s="112"/>
      <c r="F175" s="425"/>
      <c r="G175" s="426"/>
      <c r="H175" s="427"/>
      <c r="I175" s="427"/>
      <c r="J175" s="427"/>
      <c r="K175" s="428"/>
      <c r="L175" s="423"/>
      <c r="M175" s="423"/>
      <c r="N175" s="423"/>
      <c r="O175" s="424"/>
    </row>
    <row r="176" spans="1:17" s="416" customFormat="1" ht="24" customHeight="1">
      <c r="B176" s="112"/>
      <c r="C176" s="587"/>
      <c r="D176" s="112"/>
      <c r="E176" s="112"/>
      <c r="F176" s="425"/>
      <c r="G176" s="426"/>
      <c r="H176" s="427"/>
      <c r="I176" s="427"/>
      <c r="J176" s="427"/>
      <c r="K176" s="428"/>
      <c r="L176" s="423"/>
      <c r="M176" s="423"/>
      <c r="N176" s="423"/>
      <c r="O176" s="424"/>
    </row>
    <row r="177" spans="1:23" s="416" customFormat="1" ht="24" customHeight="1">
      <c r="B177" s="112"/>
      <c r="C177" s="587"/>
      <c r="D177" s="112"/>
      <c r="E177" s="112"/>
      <c r="F177" s="425"/>
      <c r="G177" s="426"/>
      <c r="H177" s="427"/>
      <c r="I177" s="427"/>
      <c r="J177" s="427"/>
      <c r="K177" s="428"/>
      <c r="L177" s="423"/>
      <c r="M177" s="423"/>
      <c r="N177" s="423"/>
      <c r="O177" s="424"/>
    </row>
    <row r="178" spans="1:23" s="416" customFormat="1" ht="24" customHeight="1">
      <c r="B178" s="112"/>
      <c r="C178" s="587"/>
      <c r="D178" s="112"/>
      <c r="E178" s="112"/>
      <c r="F178" s="425"/>
      <c r="G178" s="426"/>
      <c r="H178" s="427"/>
      <c r="I178" s="427"/>
      <c r="J178" s="427"/>
      <c r="K178" s="428"/>
      <c r="L178" s="423"/>
      <c r="M178" s="423"/>
      <c r="N178" s="423"/>
      <c r="O178" s="424"/>
    </row>
    <row r="179" spans="1:23" s="416" customFormat="1" ht="24" customHeight="1">
      <c r="B179" s="112"/>
      <c r="C179" s="587"/>
      <c r="D179" s="112"/>
      <c r="E179" s="112"/>
      <c r="F179" s="425"/>
      <c r="G179" s="426"/>
      <c r="H179" s="427"/>
      <c r="I179" s="427"/>
      <c r="J179" s="427"/>
      <c r="K179" s="428"/>
      <c r="L179" s="423"/>
      <c r="M179" s="423"/>
      <c r="N179" s="423"/>
      <c r="O179" s="424"/>
    </row>
    <row r="180" spans="1:23" s="429" customFormat="1" ht="24" customHeight="1">
      <c r="A180" s="416"/>
      <c r="B180" s="112"/>
      <c r="C180" s="587"/>
      <c r="D180" s="112"/>
      <c r="E180" s="112"/>
      <c r="F180" s="425"/>
      <c r="G180" s="426"/>
      <c r="H180" s="427"/>
      <c r="I180" s="427"/>
      <c r="J180" s="427"/>
      <c r="K180" s="428"/>
      <c r="L180" s="423"/>
      <c r="M180" s="423"/>
      <c r="N180" s="423"/>
      <c r="O180" s="424"/>
      <c r="P180" s="416"/>
      <c r="Q180" s="416"/>
      <c r="R180" s="416"/>
      <c r="S180" s="416"/>
      <c r="T180" s="416"/>
      <c r="U180" s="416"/>
      <c r="V180" s="416"/>
      <c r="W180" s="416"/>
    </row>
    <row r="181" spans="1:23" s="416" customFormat="1" ht="24" customHeight="1">
      <c r="B181" s="112"/>
      <c r="C181" s="587"/>
      <c r="D181" s="112"/>
      <c r="E181" s="112"/>
      <c r="F181" s="425"/>
      <c r="G181" s="426"/>
      <c r="H181" s="427"/>
      <c r="I181" s="427"/>
      <c r="J181" s="427"/>
      <c r="K181" s="428"/>
      <c r="L181" s="423"/>
      <c r="M181" s="423"/>
      <c r="N181" s="423"/>
      <c r="O181" s="424"/>
    </row>
    <row r="182" spans="1:23" s="416" customFormat="1" ht="24" customHeight="1">
      <c r="B182" s="112"/>
      <c r="C182" s="587"/>
      <c r="D182" s="112"/>
      <c r="E182" s="112"/>
      <c r="F182" s="425"/>
      <c r="G182" s="426"/>
      <c r="H182" s="427"/>
      <c r="I182" s="427"/>
      <c r="J182" s="427"/>
      <c r="K182" s="428"/>
      <c r="L182" s="423"/>
      <c r="M182" s="423"/>
      <c r="N182" s="423"/>
      <c r="O182" s="424"/>
    </row>
    <row r="183" spans="1:23" s="416" customFormat="1" ht="24" customHeight="1">
      <c r="B183" s="112"/>
      <c r="C183" s="587"/>
      <c r="D183" s="112"/>
      <c r="E183" s="112"/>
      <c r="F183" s="425"/>
      <c r="G183" s="426"/>
      <c r="H183" s="427"/>
      <c r="I183" s="427"/>
      <c r="J183" s="427"/>
      <c r="K183" s="428"/>
      <c r="L183" s="423"/>
      <c r="M183" s="423"/>
      <c r="N183" s="423"/>
      <c r="O183" s="424"/>
    </row>
    <row r="184" spans="1:23" s="416" customFormat="1" ht="24" customHeight="1">
      <c r="B184" s="112"/>
      <c r="C184" s="587"/>
      <c r="D184" s="112"/>
      <c r="E184" s="112"/>
      <c r="F184" s="425"/>
      <c r="G184" s="426"/>
      <c r="H184" s="427"/>
      <c r="I184" s="427"/>
      <c r="J184" s="427"/>
      <c r="K184" s="428"/>
      <c r="L184" s="423"/>
      <c r="M184" s="423"/>
      <c r="N184" s="423"/>
      <c r="O184" s="424"/>
    </row>
    <row r="185" spans="1:23" s="416" customFormat="1" ht="24" customHeight="1">
      <c r="B185" s="112"/>
      <c r="C185" s="587"/>
      <c r="D185" s="112"/>
      <c r="E185" s="112"/>
      <c r="F185" s="425"/>
      <c r="G185" s="426"/>
      <c r="H185" s="427"/>
      <c r="I185" s="427"/>
      <c r="J185" s="427"/>
      <c r="K185" s="428"/>
      <c r="L185" s="423"/>
      <c r="M185" s="423"/>
      <c r="N185" s="423"/>
      <c r="O185" s="424"/>
    </row>
    <row r="186" spans="1:23" s="416" customFormat="1" ht="24" customHeight="1">
      <c r="B186" s="112"/>
      <c r="C186" s="587"/>
      <c r="D186" s="112"/>
      <c r="E186" s="112"/>
      <c r="F186" s="425"/>
      <c r="G186" s="426"/>
      <c r="H186" s="427"/>
      <c r="I186" s="427"/>
      <c r="J186" s="427"/>
      <c r="K186" s="428"/>
      <c r="L186" s="423"/>
      <c r="M186" s="423"/>
      <c r="N186" s="423"/>
      <c r="O186" s="424"/>
    </row>
    <row r="187" spans="1:23" s="416" customFormat="1" ht="24" customHeight="1">
      <c r="B187" s="112"/>
      <c r="C187" s="587"/>
      <c r="D187" s="112"/>
      <c r="E187" s="112"/>
      <c r="F187" s="425"/>
      <c r="G187" s="426"/>
      <c r="H187" s="427"/>
      <c r="I187" s="427"/>
      <c r="J187" s="427"/>
      <c r="K187" s="428"/>
      <c r="L187" s="423"/>
      <c r="M187" s="423"/>
      <c r="N187" s="423"/>
      <c r="O187" s="424"/>
    </row>
    <row r="188" spans="1:23" s="416" customFormat="1" ht="24" customHeight="1">
      <c r="B188" s="112"/>
      <c r="C188" s="587"/>
      <c r="D188" s="112"/>
      <c r="E188" s="112"/>
      <c r="F188" s="425"/>
      <c r="G188" s="426"/>
      <c r="H188" s="427"/>
      <c r="I188" s="427"/>
      <c r="J188" s="427"/>
      <c r="K188" s="428"/>
      <c r="L188" s="423"/>
      <c r="M188" s="423"/>
      <c r="N188" s="423"/>
      <c r="O188" s="424"/>
    </row>
    <row r="189" spans="1:23" s="416" customFormat="1" ht="24" customHeight="1">
      <c r="B189" s="112"/>
      <c r="C189" s="587"/>
      <c r="D189" s="112"/>
      <c r="E189" s="112"/>
      <c r="F189" s="425"/>
      <c r="G189" s="426"/>
      <c r="H189" s="427"/>
      <c r="I189" s="427"/>
      <c r="J189" s="427"/>
      <c r="K189" s="428"/>
      <c r="L189" s="423"/>
      <c r="M189" s="423"/>
      <c r="N189" s="423"/>
      <c r="O189" s="424"/>
    </row>
    <row r="190" spans="1:23" s="416" customFormat="1" ht="24" customHeight="1">
      <c r="B190" s="112"/>
      <c r="C190" s="587"/>
      <c r="D190" s="112"/>
      <c r="E190" s="112"/>
      <c r="F190" s="425"/>
      <c r="G190" s="426"/>
      <c r="H190" s="427"/>
      <c r="I190" s="427"/>
      <c r="J190" s="427"/>
      <c r="K190" s="428"/>
      <c r="L190" s="423"/>
      <c r="M190" s="423"/>
      <c r="N190" s="423"/>
      <c r="O190" s="424"/>
    </row>
    <row r="191" spans="1:23" s="416" customFormat="1" ht="24" customHeight="1">
      <c r="B191" s="112"/>
      <c r="C191" s="587"/>
      <c r="D191" s="112"/>
      <c r="E191" s="112"/>
      <c r="F191" s="425"/>
      <c r="G191" s="426"/>
      <c r="H191" s="427"/>
      <c r="I191" s="427"/>
      <c r="J191" s="427"/>
      <c r="K191" s="428"/>
      <c r="L191" s="423"/>
      <c r="M191" s="423"/>
      <c r="N191" s="423"/>
      <c r="O191" s="424"/>
    </row>
    <row r="192" spans="1:23" s="416" customFormat="1" ht="24" customHeight="1">
      <c r="B192" s="112"/>
      <c r="C192" s="587"/>
      <c r="D192" s="112"/>
      <c r="E192" s="112"/>
      <c r="F192" s="425"/>
      <c r="G192" s="426"/>
      <c r="H192" s="427"/>
      <c r="I192" s="427"/>
      <c r="J192" s="427"/>
      <c r="K192" s="428"/>
      <c r="L192" s="423"/>
      <c r="M192" s="423"/>
      <c r="N192" s="423"/>
      <c r="O192" s="424"/>
    </row>
    <row r="193" spans="2:15" s="416" customFormat="1" ht="24" customHeight="1">
      <c r="B193" s="112"/>
      <c r="C193" s="587"/>
      <c r="D193" s="112"/>
      <c r="E193" s="112"/>
      <c r="F193" s="425"/>
      <c r="G193" s="426"/>
      <c r="H193" s="427"/>
      <c r="I193" s="427"/>
      <c r="J193" s="427"/>
      <c r="K193" s="428"/>
      <c r="L193" s="423"/>
      <c r="M193" s="423"/>
      <c r="N193" s="423"/>
      <c r="O193" s="424"/>
    </row>
    <row r="194" spans="2:15" s="416" customFormat="1" ht="24" customHeight="1">
      <c r="B194" s="112"/>
      <c r="C194" s="587"/>
      <c r="D194" s="112"/>
      <c r="E194" s="112"/>
      <c r="F194" s="425"/>
      <c r="G194" s="426"/>
      <c r="H194" s="427"/>
      <c r="I194" s="427"/>
      <c r="J194" s="427"/>
      <c r="K194" s="428"/>
      <c r="L194" s="423"/>
      <c r="M194" s="423"/>
      <c r="N194" s="423"/>
      <c r="O194" s="424"/>
    </row>
    <row r="195" spans="2:15" s="416" customFormat="1" ht="25.5" customHeight="1">
      <c r="B195" s="112"/>
      <c r="C195" s="587"/>
      <c r="D195" s="112"/>
      <c r="E195" s="112"/>
      <c r="F195" s="425"/>
      <c r="G195" s="426"/>
      <c r="H195" s="427"/>
      <c r="I195" s="427"/>
      <c r="J195" s="427"/>
      <c r="K195" s="428"/>
      <c r="L195" s="423"/>
      <c r="M195" s="423"/>
      <c r="N195" s="423"/>
      <c r="O195" s="424"/>
    </row>
    <row r="196" spans="2:15" s="416" customFormat="1" ht="25.5" customHeight="1">
      <c r="B196" s="112"/>
      <c r="C196" s="587"/>
      <c r="D196" s="112"/>
      <c r="E196" s="112"/>
      <c r="F196" s="425"/>
      <c r="G196" s="426"/>
      <c r="H196" s="427"/>
      <c r="I196" s="427"/>
      <c r="J196" s="427"/>
      <c r="K196" s="428"/>
      <c r="L196" s="423"/>
      <c r="M196" s="423"/>
      <c r="N196" s="423"/>
      <c r="O196" s="424"/>
    </row>
    <row r="197" spans="2:15" s="416" customFormat="1" ht="25.5" customHeight="1">
      <c r="B197" s="112"/>
      <c r="C197" s="587"/>
      <c r="D197" s="112"/>
      <c r="E197" s="112"/>
      <c r="F197" s="425"/>
      <c r="G197" s="426"/>
      <c r="H197" s="427"/>
      <c r="I197" s="427"/>
      <c r="J197" s="427"/>
      <c r="K197" s="428"/>
      <c r="L197" s="423"/>
      <c r="M197" s="423"/>
      <c r="N197" s="423"/>
      <c r="O197" s="424"/>
    </row>
    <row r="198" spans="2:15" s="416" customFormat="1" ht="25.5" customHeight="1">
      <c r="B198" s="112"/>
      <c r="C198" s="587"/>
      <c r="D198" s="112"/>
      <c r="E198" s="112"/>
      <c r="F198" s="425"/>
      <c r="G198" s="426"/>
      <c r="H198" s="427"/>
      <c r="I198" s="427"/>
      <c r="J198" s="427"/>
      <c r="K198" s="428"/>
      <c r="L198" s="423"/>
      <c r="M198" s="423"/>
      <c r="N198" s="423"/>
      <c r="O198" s="424"/>
    </row>
    <row r="199" spans="2:15" s="416" customFormat="1" ht="25.5" customHeight="1">
      <c r="B199" s="112"/>
      <c r="C199" s="587"/>
      <c r="D199" s="112"/>
      <c r="E199" s="112"/>
      <c r="F199" s="425"/>
      <c r="G199" s="426"/>
      <c r="H199" s="427"/>
      <c r="I199" s="427"/>
      <c r="J199" s="427"/>
      <c r="K199" s="428"/>
      <c r="L199" s="423"/>
      <c r="M199" s="423"/>
      <c r="N199" s="423"/>
      <c r="O199" s="424"/>
    </row>
    <row r="200" spans="2:15" s="416" customFormat="1" ht="25.5" customHeight="1">
      <c r="B200" s="118"/>
      <c r="C200" s="116"/>
      <c r="D200" s="116"/>
      <c r="E200" s="116"/>
      <c r="K200" s="430"/>
      <c r="M200" s="431"/>
      <c r="O200" s="424"/>
    </row>
    <row r="201" spans="2:15" s="416" customFormat="1" ht="25.5" customHeight="1">
      <c r="B201" s="118"/>
      <c r="C201" s="116"/>
      <c r="D201" s="116"/>
      <c r="E201" s="116"/>
      <c r="K201" s="430"/>
      <c r="M201" s="431"/>
      <c r="O201" s="424"/>
    </row>
    <row r="202" spans="2:15" s="416" customFormat="1" ht="25.5" customHeight="1">
      <c r="B202" s="118"/>
      <c r="C202" s="116"/>
      <c r="D202" s="116"/>
      <c r="E202" s="116"/>
      <c r="K202" s="430"/>
      <c r="M202" s="431"/>
      <c r="O202" s="424"/>
    </row>
    <row r="203" spans="2:15" s="416" customFormat="1" ht="25.5" customHeight="1">
      <c r="B203" s="118"/>
      <c r="C203" s="116"/>
      <c r="D203" s="116"/>
      <c r="E203" s="116"/>
      <c r="K203" s="430"/>
      <c r="M203" s="431"/>
      <c r="O203" s="424"/>
    </row>
    <row r="204" spans="2:15" s="416" customFormat="1" ht="25.5" customHeight="1">
      <c r="B204" s="118"/>
      <c r="C204" s="116"/>
      <c r="D204" s="116"/>
      <c r="E204" s="116"/>
      <c r="K204" s="430"/>
      <c r="M204" s="431"/>
      <c r="O204" s="424"/>
    </row>
    <row r="205" spans="2:15" s="416" customFormat="1" ht="25.5" customHeight="1">
      <c r="B205" s="118"/>
      <c r="C205" s="116"/>
      <c r="D205" s="116"/>
      <c r="E205" s="116"/>
      <c r="K205" s="430"/>
      <c r="M205" s="431"/>
      <c r="O205" s="424"/>
    </row>
    <row r="206" spans="2:15" s="416" customFormat="1" ht="25.5" customHeight="1">
      <c r="B206" s="118"/>
      <c r="C206" s="116"/>
      <c r="D206" s="116"/>
      <c r="E206" s="116"/>
      <c r="K206" s="430"/>
      <c r="M206" s="431"/>
      <c r="O206" s="424"/>
    </row>
    <row r="207" spans="2:15" s="416" customFormat="1" ht="25.5" customHeight="1">
      <c r="B207" s="118"/>
      <c r="C207" s="116"/>
      <c r="D207" s="116"/>
      <c r="E207" s="116"/>
      <c r="K207" s="430"/>
      <c r="M207" s="431"/>
      <c r="O207" s="424"/>
    </row>
    <row r="208" spans="2:15" s="416" customFormat="1" ht="25.5" customHeight="1">
      <c r="B208" s="118"/>
      <c r="C208" s="116"/>
      <c r="D208" s="116"/>
      <c r="E208" s="116"/>
      <c r="K208" s="430"/>
      <c r="M208" s="431"/>
      <c r="O208" s="424"/>
    </row>
    <row r="209" spans="2:15" s="416" customFormat="1" ht="25.5" customHeight="1">
      <c r="B209" s="118"/>
      <c r="C209" s="116"/>
      <c r="D209" s="116"/>
      <c r="E209" s="116"/>
      <c r="K209" s="430"/>
      <c r="M209" s="431"/>
      <c r="O209" s="424"/>
    </row>
    <row r="210" spans="2:15" s="416" customFormat="1" ht="25.5" customHeight="1">
      <c r="B210" s="118"/>
      <c r="C210" s="116"/>
      <c r="D210" s="116"/>
      <c r="E210" s="116"/>
      <c r="K210" s="430"/>
      <c r="M210" s="431"/>
      <c r="O210" s="424"/>
    </row>
    <row r="211" spans="2:15" s="416" customFormat="1" ht="25.5" customHeight="1">
      <c r="B211" s="118"/>
      <c r="C211" s="116"/>
      <c r="D211" s="116"/>
      <c r="E211" s="116"/>
      <c r="K211" s="430"/>
      <c r="M211" s="431"/>
      <c r="O211" s="424"/>
    </row>
    <row r="212" spans="2:15" s="416" customFormat="1" ht="25.5" customHeight="1">
      <c r="B212" s="118"/>
      <c r="C212" s="116"/>
      <c r="D212" s="116"/>
      <c r="E212" s="116"/>
      <c r="K212" s="430"/>
      <c r="M212" s="431"/>
      <c r="O212" s="424"/>
    </row>
    <row r="213" spans="2:15" s="416" customFormat="1" ht="25.5" customHeight="1">
      <c r="B213" s="118"/>
      <c r="C213" s="116"/>
      <c r="D213" s="116"/>
      <c r="E213" s="116"/>
      <c r="K213" s="430"/>
      <c r="M213" s="431"/>
      <c r="O213" s="424"/>
    </row>
    <row r="214" spans="2:15" s="416" customFormat="1" ht="25.5" customHeight="1">
      <c r="B214" s="118"/>
      <c r="C214" s="116"/>
      <c r="D214" s="116"/>
      <c r="E214" s="116"/>
      <c r="K214" s="430"/>
      <c r="M214" s="431"/>
      <c r="O214" s="424"/>
    </row>
    <row r="215" spans="2:15" s="416" customFormat="1" ht="25.5" customHeight="1">
      <c r="B215" s="118"/>
      <c r="C215" s="116"/>
      <c r="D215" s="116"/>
      <c r="E215" s="116"/>
      <c r="K215" s="430"/>
      <c r="M215" s="431"/>
      <c r="O215" s="424"/>
    </row>
    <row r="216" spans="2:15" s="416" customFormat="1" ht="25.5" customHeight="1">
      <c r="B216" s="118"/>
      <c r="C216" s="116"/>
      <c r="D216" s="116"/>
      <c r="E216" s="116"/>
      <c r="K216" s="430"/>
      <c r="M216" s="431"/>
      <c r="O216" s="424"/>
    </row>
    <row r="217" spans="2:15" s="416" customFormat="1" ht="25.5" customHeight="1">
      <c r="B217" s="118"/>
      <c r="C217" s="116"/>
      <c r="D217" s="116"/>
      <c r="E217" s="116"/>
      <c r="K217" s="430"/>
      <c r="M217" s="431"/>
      <c r="O217" s="424"/>
    </row>
    <row r="218" spans="2:15" s="416" customFormat="1" ht="25.5" customHeight="1">
      <c r="B218" s="118"/>
      <c r="C218" s="116"/>
      <c r="D218" s="116"/>
      <c r="E218" s="116"/>
      <c r="K218" s="430"/>
      <c r="M218" s="431"/>
      <c r="O218" s="424"/>
    </row>
    <row r="219" spans="2:15" s="416" customFormat="1" ht="25.5" customHeight="1">
      <c r="B219" s="118"/>
      <c r="C219" s="116"/>
      <c r="D219" s="116"/>
      <c r="E219" s="116"/>
      <c r="K219" s="430"/>
      <c r="M219" s="431"/>
      <c r="O219" s="424"/>
    </row>
    <row r="220" spans="2:15" s="416" customFormat="1" ht="25.5" customHeight="1">
      <c r="B220" s="118"/>
      <c r="C220" s="116"/>
      <c r="D220" s="116"/>
      <c r="E220" s="116"/>
      <c r="K220" s="430"/>
      <c r="M220" s="431"/>
      <c r="O220" s="424"/>
    </row>
    <row r="221" spans="2:15" s="416" customFormat="1" ht="25.5" customHeight="1">
      <c r="B221" s="118"/>
      <c r="C221" s="116"/>
      <c r="D221" s="116"/>
      <c r="E221" s="116"/>
      <c r="K221" s="430"/>
      <c r="M221" s="431"/>
      <c r="O221" s="424"/>
    </row>
    <row r="222" spans="2:15" s="416" customFormat="1" ht="25.5" customHeight="1">
      <c r="B222" s="118"/>
      <c r="C222" s="116"/>
      <c r="D222" s="116"/>
      <c r="E222" s="116"/>
      <c r="K222" s="430"/>
      <c r="M222" s="431"/>
      <c r="O222" s="424"/>
    </row>
    <row r="223" spans="2:15" s="416" customFormat="1" ht="25.5" customHeight="1">
      <c r="B223" s="118"/>
      <c r="C223" s="116"/>
      <c r="D223" s="116"/>
      <c r="E223" s="116"/>
      <c r="K223" s="430"/>
      <c r="M223" s="431"/>
      <c r="O223" s="424"/>
    </row>
    <row r="224" spans="2:15" s="416" customFormat="1" ht="25.5" customHeight="1">
      <c r="B224" s="118"/>
      <c r="C224" s="116"/>
      <c r="D224" s="116"/>
      <c r="E224" s="116"/>
      <c r="K224" s="430"/>
      <c r="M224" s="431"/>
      <c r="O224" s="424"/>
    </row>
    <row r="225" spans="2:15" s="416" customFormat="1" ht="25.5" customHeight="1">
      <c r="B225" s="118"/>
      <c r="C225" s="116"/>
      <c r="D225" s="116"/>
      <c r="E225" s="116"/>
      <c r="K225" s="430"/>
      <c r="M225" s="431"/>
      <c r="O225" s="424"/>
    </row>
    <row r="226" spans="2:15" s="416" customFormat="1" ht="25.5" customHeight="1">
      <c r="B226" s="118"/>
      <c r="C226" s="116"/>
      <c r="D226" s="116"/>
      <c r="E226" s="116"/>
      <c r="K226" s="430"/>
      <c r="M226" s="431"/>
      <c r="O226" s="424"/>
    </row>
    <row r="227" spans="2:15" s="416" customFormat="1" ht="25.5" customHeight="1">
      <c r="B227" s="118"/>
      <c r="C227" s="116"/>
      <c r="D227" s="116"/>
      <c r="E227" s="116"/>
      <c r="K227" s="430"/>
      <c r="M227" s="431"/>
      <c r="O227" s="424"/>
    </row>
    <row r="228" spans="2:15" s="416" customFormat="1" ht="25.5" customHeight="1">
      <c r="B228" s="118"/>
      <c r="C228" s="116"/>
      <c r="D228" s="116"/>
      <c r="E228" s="116"/>
      <c r="K228" s="430"/>
      <c r="M228" s="431"/>
      <c r="O228" s="424"/>
    </row>
    <row r="229" spans="2:15" s="416" customFormat="1" ht="25.5" customHeight="1">
      <c r="B229" s="118"/>
      <c r="C229" s="116"/>
      <c r="D229" s="116"/>
      <c r="E229" s="116"/>
      <c r="K229" s="430"/>
      <c r="M229" s="431"/>
      <c r="O229" s="424"/>
    </row>
    <row r="230" spans="2:15" s="416" customFormat="1" ht="25.5" customHeight="1">
      <c r="B230" s="118"/>
      <c r="C230" s="116"/>
      <c r="D230" s="116"/>
      <c r="E230" s="116"/>
      <c r="K230" s="430"/>
      <c r="M230" s="431"/>
      <c r="O230" s="424"/>
    </row>
    <row r="231" spans="2:15" s="416" customFormat="1" ht="25.5" customHeight="1">
      <c r="B231" s="118"/>
      <c r="C231" s="116"/>
      <c r="D231" s="116"/>
      <c r="E231" s="116"/>
      <c r="K231" s="430"/>
      <c r="M231" s="431"/>
      <c r="O231" s="424"/>
    </row>
    <row r="232" spans="2:15" s="416" customFormat="1" ht="25.5" customHeight="1">
      <c r="B232" s="118"/>
      <c r="C232" s="116"/>
      <c r="D232" s="116"/>
      <c r="E232" s="116"/>
      <c r="K232" s="430"/>
      <c r="M232" s="431"/>
      <c r="O232" s="424"/>
    </row>
    <row r="233" spans="2:15" s="416" customFormat="1" ht="25.5" customHeight="1">
      <c r="B233" s="118"/>
      <c r="C233" s="116"/>
      <c r="D233" s="116"/>
      <c r="E233" s="116"/>
      <c r="K233" s="430"/>
      <c r="M233" s="431"/>
      <c r="O233" s="424"/>
    </row>
    <row r="234" spans="2:15" s="416" customFormat="1" ht="25.5" customHeight="1">
      <c r="B234" s="118"/>
      <c r="C234" s="116"/>
      <c r="D234" s="116"/>
      <c r="E234" s="116"/>
      <c r="K234" s="430"/>
      <c r="M234" s="431"/>
      <c r="O234" s="424"/>
    </row>
    <row r="235" spans="2:15" s="416" customFormat="1" ht="25.5" customHeight="1">
      <c r="B235" s="118"/>
      <c r="C235" s="116"/>
      <c r="D235" s="116"/>
      <c r="E235" s="116"/>
      <c r="K235" s="430"/>
      <c r="M235" s="431"/>
      <c r="O235" s="424"/>
    </row>
    <row r="236" spans="2:15" s="416" customFormat="1" ht="25.5" customHeight="1">
      <c r="B236" s="118"/>
      <c r="C236" s="116"/>
      <c r="D236" s="116"/>
      <c r="E236" s="116"/>
      <c r="K236" s="430"/>
      <c r="M236" s="431"/>
      <c r="O236" s="424"/>
    </row>
    <row r="237" spans="2:15" s="416" customFormat="1" ht="25.5" customHeight="1">
      <c r="B237" s="118"/>
      <c r="C237" s="116"/>
      <c r="D237" s="116"/>
      <c r="E237" s="116"/>
      <c r="K237" s="430"/>
      <c r="M237" s="431"/>
      <c r="O237" s="424"/>
    </row>
    <row r="238" spans="2:15" s="416" customFormat="1" ht="25.5" customHeight="1">
      <c r="B238" s="118"/>
      <c r="C238" s="116"/>
      <c r="D238" s="116"/>
      <c r="E238" s="116"/>
      <c r="K238" s="430"/>
      <c r="M238" s="431"/>
      <c r="O238" s="424"/>
    </row>
    <row r="239" spans="2:15" s="416" customFormat="1" ht="25.5" customHeight="1">
      <c r="B239" s="118"/>
      <c r="C239" s="116"/>
      <c r="D239" s="116"/>
      <c r="E239" s="116"/>
      <c r="K239" s="430"/>
      <c r="M239" s="431"/>
      <c r="O239" s="424"/>
    </row>
    <row r="240" spans="2:15" s="416" customFormat="1" ht="25.5" customHeight="1">
      <c r="B240" s="118"/>
      <c r="C240" s="116"/>
      <c r="D240" s="116"/>
      <c r="E240" s="116"/>
      <c r="K240" s="430"/>
      <c r="M240" s="431"/>
      <c r="O240" s="424"/>
    </row>
    <row r="241" spans="2:15" s="416" customFormat="1" ht="25.5" customHeight="1">
      <c r="B241" s="118"/>
      <c r="C241" s="116"/>
      <c r="D241" s="116"/>
      <c r="E241" s="116"/>
      <c r="K241" s="430"/>
      <c r="M241" s="431"/>
      <c r="O241" s="424"/>
    </row>
    <row r="242" spans="2:15" s="416" customFormat="1" ht="25.5" customHeight="1">
      <c r="B242" s="118"/>
      <c r="C242" s="116"/>
      <c r="D242" s="116"/>
      <c r="E242" s="116"/>
      <c r="K242" s="430"/>
      <c r="M242" s="431"/>
      <c r="O242" s="424"/>
    </row>
    <row r="243" spans="2:15" s="416" customFormat="1" ht="25.5" customHeight="1">
      <c r="B243" s="118"/>
      <c r="C243" s="116"/>
      <c r="D243" s="116"/>
      <c r="E243" s="116"/>
      <c r="K243" s="430"/>
      <c r="M243" s="431"/>
      <c r="O243" s="424"/>
    </row>
    <row r="244" spans="2:15" s="416" customFormat="1" ht="25.5" customHeight="1">
      <c r="B244" s="118"/>
      <c r="C244" s="116"/>
      <c r="D244" s="116"/>
      <c r="E244" s="116"/>
      <c r="K244" s="430"/>
      <c r="M244" s="431"/>
      <c r="O244" s="424"/>
    </row>
    <row r="245" spans="2:15" s="416" customFormat="1" ht="25.5" customHeight="1">
      <c r="B245" s="118"/>
      <c r="C245" s="116"/>
      <c r="D245" s="116"/>
      <c r="E245" s="116"/>
      <c r="K245" s="430"/>
      <c r="M245" s="431"/>
      <c r="O245" s="424"/>
    </row>
    <row r="246" spans="2:15" s="416" customFormat="1" ht="25.5" customHeight="1">
      <c r="B246" s="118"/>
      <c r="C246" s="116"/>
      <c r="D246" s="116"/>
      <c r="E246" s="116"/>
      <c r="K246" s="430"/>
      <c r="M246" s="431"/>
      <c r="O246" s="424"/>
    </row>
    <row r="247" spans="2:15" s="416" customFormat="1" ht="25.5" customHeight="1">
      <c r="B247" s="118"/>
      <c r="C247" s="116"/>
      <c r="D247" s="116"/>
      <c r="E247" s="116"/>
      <c r="K247" s="430"/>
      <c r="M247" s="431"/>
      <c r="O247" s="424"/>
    </row>
    <row r="248" spans="2:15" s="416" customFormat="1" ht="25.5" customHeight="1">
      <c r="B248" s="115"/>
      <c r="C248" s="117"/>
      <c r="D248" s="117"/>
      <c r="E248" s="117"/>
      <c r="F248" s="424"/>
      <c r="G248" s="424"/>
      <c r="H248" s="424"/>
      <c r="I248" s="424"/>
      <c r="J248" s="424"/>
      <c r="K248" s="428"/>
      <c r="L248" s="424"/>
      <c r="M248" s="432"/>
      <c r="O248" s="424"/>
    </row>
    <row r="249" spans="2:15" s="416" customFormat="1" ht="25.5" customHeight="1">
      <c r="B249" s="118"/>
      <c r="C249" s="116"/>
      <c r="D249" s="116"/>
      <c r="E249" s="116"/>
      <c r="K249" s="430"/>
      <c r="M249" s="431"/>
      <c r="O249" s="424"/>
    </row>
    <row r="250" spans="2:15" s="416" customFormat="1" ht="25.5" customHeight="1">
      <c r="B250" s="118"/>
      <c r="C250" s="116"/>
      <c r="D250" s="116"/>
      <c r="E250" s="116"/>
      <c r="K250" s="430"/>
      <c r="M250" s="431"/>
      <c r="O250" s="424"/>
    </row>
    <row r="251" spans="2:15" s="168" customFormat="1" ht="25.5" customHeight="1">
      <c r="B251" s="119"/>
      <c r="C251" s="1"/>
      <c r="D251" s="1"/>
      <c r="E251" s="1"/>
      <c r="K251" s="203"/>
      <c r="M251" s="350"/>
      <c r="O251" s="433"/>
    </row>
    <row r="252" spans="2:15" s="168" customFormat="1" ht="25.5" customHeight="1">
      <c r="B252" s="119"/>
      <c r="C252" s="1"/>
      <c r="D252" s="1"/>
      <c r="E252" s="1"/>
      <c r="K252" s="203"/>
      <c r="M252" s="350"/>
      <c r="O252" s="433"/>
    </row>
    <row r="253" spans="2:15" s="168" customFormat="1" ht="25.5" customHeight="1">
      <c r="B253" s="119"/>
      <c r="C253" s="1"/>
      <c r="D253" s="1"/>
      <c r="E253" s="1"/>
      <c r="K253" s="203"/>
      <c r="M253" s="350"/>
      <c r="O253" s="433"/>
    </row>
    <row r="254" spans="2:15" s="168" customFormat="1" ht="25.5" customHeight="1">
      <c r="B254" s="119"/>
      <c r="C254" s="1"/>
      <c r="D254" s="1"/>
      <c r="E254" s="1"/>
      <c r="K254" s="203"/>
      <c r="M254" s="350"/>
      <c r="O254" s="433"/>
    </row>
    <row r="255" spans="2:15" s="168" customFormat="1" ht="25.5" customHeight="1">
      <c r="B255" s="119"/>
      <c r="C255" s="1"/>
      <c r="D255" s="1"/>
      <c r="E255" s="1"/>
      <c r="K255" s="203"/>
      <c r="M255" s="350"/>
      <c r="O255" s="433"/>
    </row>
    <row r="256" spans="2:15" s="168" customFormat="1" ht="25.5" customHeight="1">
      <c r="B256" s="119"/>
      <c r="C256" s="1"/>
      <c r="D256" s="1"/>
      <c r="E256" s="1"/>
      <c r="K256" s="203"/>
      <c r="M256" s="350"/>
      <c r="O256" s="433"/>
    </row>
    <row r="257" spans="2:15" s="168" customFormat="1" ht="25.5" customHeight="1">
      <c r="B257" s="119"/>
      <c r="C257" s="1"/>
      <c r="D257" s="1"/>
      <c r="E257" s="1"/>
      <c r="K257" s="203"/>
      <c r="M257" s="350"/>
      <c r="O257" s="433"/>
    </row>
    <row r="258" spans="2:15" s="168" customFormat="1" ht="25.5" customHeight="1">
      <c r="B258" s="119"/>
      <c r="C258" s="1"/>
      <c r="D258" s="1"/>
      <c r="E258" s="1"/>
      <c r="K258" s="203"/>
      <c r="M258" s="350"/>
      <c r="O258" s="433"/>
    </row>
    <row r="259" spans="2:15" s="168" customFormat="1" ht="25.5" customHeight="1">
      <c r="B259" s="119"/>
      <c r="C259" s="1"/>
      <c r="D259" s="1"/>
      <c r="E259" s="1"/>
      <c r="K259" s="203"/>
      <c r="M259" s="350"/>
      <c r="O259" s="433"/>
    </row>
    <row r="260" spans="2:15" s="168" customFormat="1" ht="25.5" customHeight="1">
      <c r="B260" s="119"/>
      <c r="C260" s="1"/>
      <c r="D260" s="1"/>
      <c r="E260" s="1"/>
      <c r="K260" s="203"/>
      <c r="M260" s="350"/>
      <c r="O260" s="433"/>
    </row>
    <row r="261" spans="2:15" s="168" customFormat="1" ht="25.5" customHeight="1">
      <c r="B261" s="119"/>
      <c r="C261" s="1"/>
      <c r="D261" s="1"/>
      <c r="E261" s="1"/>
      <c r="K261" s="203"/>
      <c r="M261" s="350"/>
      <c r="O261" s="433"/>
    </row>
    <row r="262" spans="2:15" s="168" customFormat="1" ht="25.5" customHeight="1">
      <c r="B262" s="40"/>
      <c r="C262" s="43"/>
      <c r="D262" s="98"/>
      <c r="E262" s="1"/>
      <c r="K262" s="203"/>
      <c r="M262" s="350"/>
      <c r="O262" s="433"/>
    </row>
    <row r="263" spans="2:15" s="168" customFormat="1" ht="25.5" customHeight="1">
      <c r="B263" s="119"/>
      <c r="C263" s="1"/>
      <c r="D263" s="1"/>
      <c r="E263" s="1"/>
      <c r="K263" s="203"/>
      <c r="M263" s="350"/>
      <c r="O263" s="433"/>
    </row>
    <row r="264" spans="2:15" s="168" customFormat="1" ht="25.5" customHeight="1">
      <c r="B264" s="119"/>
      <c r="C264" s="1"/>
      <c r="D264" s="1"/>
      <c r="E264" s="1"/>
      <c r="K264" s="203"/>
      <c r="M264" s="350"/>
      <c r="O264" s="433"/>
    </row>
    <row r="265" spans="2:15" s="168" customFormat="1" ht="25.5" customHeight="1">
      <c r="B265" s="119"/>
      <c r="C265" s="1"/>
      <c r="D265" s="1"/>
      <c r="E265" s="1"/>
      <c r="K265" s="203"/>
      <c r="M265" s="350"/>
      <c r="O265" s="433"/>
    </row>
    <row r="266" spans="2:15" s="168" customFormat="1" ht="25.5" customHeight="1">
      <c r="B266" s="119"/>
      <c r="C266" s="1"/>
      <c r="D266" s="1"/>
      <c r="E266" s="1"/>
      <c r="K266" s="203"/>
      <c r="M266" s="350"/>
      <c r="O266" s="433"/>
    </row>
    <row r="267" spans="2:15" s="168" customFormat="1" ht="25.5" customHeight="1">
      <c r="B267" s="119"/>
      <c r="C267" s="1"/>
      <c r="D267" s="1"/>
      <c r="E267" s="1"/>
      <c r="K267" s="203"/>
      <c r="M267" s="350"/>
      <c r="O267" s="433"/>
    </row>
    <row r="268" spans="2:15" s="168" customFormat="1" ht="25.5" customHeight="1">
      <c r="B268" s="119"/>
      <c r="C268" s="1"/>
      <c r="D268" s="1"/>
      <c r="E268" s="1"/>
      <c r="K268" s="203"/>
      <c r="M268" s="350"/>
      <c r="O268" s="433"/>
    </row>
    <row r="269" spans="2:15" s="168" customFormat="1" ht="25.5" customHeight="1">
      <c r="B269" s="119"/>
      <c r="C269" s="1"/>
      <c r="D269" s="1"/>
      <c r="E269" s="1"/>
      <c r="K269" s="203"/>
      <c r="M269" s="350"/>
      <c r="O269" s="433"/>
    </row>
    <row r="270" spans="2:15" s="168" customFormat="1" ht="25.5" customHeight="1">
      <c r="B270" s="119"/>
      <c r="C270" s="1"/>
      <c r="D270" s="1"/>
      <c r="E270" s="1"/>
      <c r="K270" s="203"/>
      <c r="M270" s="350"/>
      <c r="O270" s="433"/>
    </row>
    <row r="271" spans="2:15" s="168" customFormat="1" ht="25.5" customHeight="1">
      <c r="B271" s="119"/>
      <c r="C271" s="1"/>
      <c r="D271" s="1"/>
      <c r="E271" s="1"/>
      <c r="K271" s="203"/>
      <c r="M271" s="350"/>
      <c r="O271" s="433"/>
    </row>
    <row r="272" spans="2:15" s="168" customFormat="1" ht="25.5" customHeight="1">
      <c r="B272" s="119"/>
      <c r="C272" s="1"/>
      <c r="D272" s="1"/>
      <c r="E272" s="1"/>
      <c r="K272" s="203"/>
      <c r="M272" s="350"/>
      <c r="O272" s="433"/>
    </row>
    <row r="273" spans="2:15" s="168" customFormat="1" ht="25.5" customHeight="1">
      <c r="B273" s="119"/>
      <c r="C273" s="1"/>
      <c r="D273" s="1"/>
      <c r="E273" s="1"/>
      <c r="K273" s="203"/>
      <c r="M273" s="350"/>
      <c r="O273" s="433"/>
    </row>
    <row r="274" spans="2:15" s="168" customFormat="1" ht="25.5" customHeight="1">
      <c r="B274" s="119"/>
      <c r="C274" s="1"/>
      <c r="D274" s="1"/>
      <c r="E274" s="1"/>
      <c r="K274" s="203"/>
      <c r="M274" s="350"/>
      <c r="O274" s="433"/>
    </row>
    <row r="275" spans="2:15" s="168" customFormat="1" ht="25.5" customHeight="1">
      <c r="B275" s="119"/>
      <c r="C275" s="1"/>
      <c r="D275" s="1"/>
      <c r="E275" s="1"/>
      <c r="K275" s="203"/>
      <c r="M275" s="350"/>
      <c r="O275" s="433"/>
    </row>
    <row r="276" spans="2:15" s="168" customFormat="1" ht="25.5" customHeight="1">
      <c r="B276" s="119"/>
      <c r="C276" s="1"/>
      <c r="D276" s="1"/>
      <c r="E276" s="1"/>
      <c r="K276" s="203"/>
      <c r="M276" s="350"/>
      <c r="O276" s="433"/>
    </row>
    <row r="277" spans="2:15" s="168" customFormat="1" ht="25.5" customHeight="1">
      <c r="B277" s="119"/>
      <c r="C277" s="1"/>
      <c r="D277" s="1"/>
      <c r="E277" s="1"/>
      <c r="K277" s="203"/>
      <c r="M277" s="350"/>
      <c r="O277" s="433"/>
    </row>
    <row r="278" spans="2:15" s="168" customFormat="1" ht="25.5" customHeight="1">
      <c r="B278" s="119"/>
      <c r="C278" s="1"/>
      <c r="D278" s="1"/>
      <c r="E278" s="1"/>
      <c r="K278" s="203"/>
      <c r="M278" s="350"/>
      <c r="O278" s="433"/>
    </row>
    <row r="279" spans="2:15" s="168" customFormat="1" ht="25.5" customHeight="1">
      <c r="B279" s="119"/>
      <c r="C279" s="1"/>
      <c r="D279" s="1"/>
      <c r="E279" s="1"/>
      <c r="K279" s="203"/>
      <c r="M279" s="350"/>
      <c r="O279" s="433"/>
    </row>
    <row r="280" spans="2:15" s="168" customFormat="1" ht="25.5" customHeight="1">
      <c r="B280" s="119"/>
      <c r="C280" s="1"/>
      <c r="D280" s="1"/>
      <c r="E280" s="1"/>
      <c r="K280" s="203"/>
      <c r="M280" s="350"/>
      <c r="O280" s="433"/>
    </row>
    <row r="281" spans="2:15" s="168" customFormat="1" ht="25.5" customHeight="1">
      <c r="B281" s="119"/>
      <c r="C281" s="1"/>
      <c r="D281" s="1"/>
      <c r="E281" s="1"/>
      <c r="K281" s="203"/>
      <c r="M281" s="350"/>
      <c r="O281" s="433"/>
    </row>
    <row r="282" spans="2:15" s="168" customFormat="1" ht="25.5" customHeight="1">
      <c r="B282" s="119"/>
      <c r="C282" s="1"/>
      <c r="D282" s="1"/>
      <c r="E282" s="1"/>
      <c r="K282" s="203"/>
      <c r="M282" s="350"/>
      <c r="O282" s="433"/>
    </row>
    <row r="283" spans="2:15" s="168" customFormat="1" ht="25.5" customHeight="1">
      <c r="B283" s="119"/>
      <c r="C283" s="1"/>
      <c r="D283" s="1"/>
      <c r="E283" s="1"/>
      <c r="K283" s="203"/>
      <c r="M283" s="350"/>
      <c r="O283" s="433"/>
    </row>
    <row r="284" spans="2:15" s="168" customFormat="1" ht="25.5" customHeight="1">
      <c r="B284" s="119"/>
      <c r="C284" s="1"/>
      <c r="D284" s="1"/>
      <c r="E284" s="1"/>
      <c r="K284" s="203"/>
      <c r="M284" s="350"/>
      <c r="O284" s="433"/>
    </row>
    <row r="285" spans="2:15" s="168" customFormat="1" ht="25.5" customHeight="1">
      <c r="B285" s="119"/>
      <c r="C285" s="1"/>
      <c r="D285" s="1"/>
      <c r="E285" s="1"/>
      <c r="K285" s="203"/>
      <c r="M285" s="350"/>
      <c r="O285" s="433"/>
    </row>
    <row r="286" spans="2:15" s="168" customFormat="1" ht="25.5" customHeight="1">
      <c r="B286" s="119"/>
      <c r="C286" s="1"/>
      <c r="D286" s="1"/>
      <c r="E286" s="1"/>
      <c r="K286" s="203"/>
      <c r="M286" s="350"/>
      <c r="O286" s="433"/>
    </row>
    <row r="287" spans="2:15" s="168" customFormat="1" ht="25.5" customHeight="1">
      <c r="B287" s="119"/>
      <c r="C287" s="1"/>
      <c r="D287" s="1"/>
      <c r="E287" s="1"/>
      <c r="K287" s="203"/>
      <c r="M287" s="350"/>
      <c r="O287" s="433"/>
    </row>
    <row r="288" spans="2:15" s="168" customFormat="1" ht="25.5" customHeight="1">
      <c r="B288" s="119"/>
      <c r="C288" s="1"/>
      <c r="D288" s="1"/>
      <c r="E288" s="1"/>
      <c r="K288" s="203"/>
      <c r="M288" s="350"/>
      <c r="O288" s="433"/>
    </row>
    <row r="289" spans="2:15" s="168" customFormat="1" ht="25.5" customHeight="1">
      <c r="B289" s="119"/>
      <c r="C289" s="1"/>
      <c r="D289" s="1"/>
      <c r="E289" s="1"/>
      <c r="K289" s="203"/>
      <c r="M289" s="350"/>
      <c r="O289" s="433"/>
    </row>
    <row r="290" spans="2:15" s="168" customFormat="1" ht="25.5" customHeight="1">
      <c r="B290" s="119"/>
      <c r="C290" s="1"/>
      <c r="D290" s="1"/>
      <c r="E290" s="1"/>
      <c r="K290" s="203"/>
      <c r="M290" s="350"/>
      <c r="O290" s="433"/>
    </row>
    <row r="291" spans="2:15" s="168" customFormat="1" ht="25.5" customHeight="1">
      <c r="B291" s="119"/>
      <c r="C291" s="1"/>
      <c r="D291" s="1"/>
      <c r="E291" s="1"/>
      <c r="K291" s="203"/>
      <c r="M291" s="350"/>
      <c r="O291" s="433"/>
    </row>
    <row r="292" spans="2:15" s="168" customFormat="1" ht="25.5" customHeight="1">
      <c r="B292" s="119"/>
      <c r="C292" s="1"/>
      <c r="D292" s="1"/>
      <c r="E292" s="1"/>
      <c r="K292" s="203"/>
      <c r="M292" s="350"/>
      <c r="O292" s="433"/>
    </row>
    <row r="293" spans="2:15" s="168" customFormat="1" ht="25.5" customHeight="1">
      <c r="B293" s="119"/>
      <c r="C293" s="1"/>
      <c r="D293" s="1"/>
      <c r="E293" s="1"/>
      <c r="K293" s="203"/>
      <c r="M293" s="350"/>
      <c r="O293" s="433"/>
    </row>
    <row r="294" spans="2:15" s="168" customFormat="1" ht="25.5" customHeight="1">
      <c r="B294" s="119"/>
      <c r="C294" s="1"/>
      <c r="D294" s="1"/>
      <c r="E294" s="1"/>
      <c r="K294" s="203"/>
      <c r="M294" s="350"/>
      <c r="O294" s="433"/>
    </row>
    <row r="295" spans="2:15" s="168" customFormat="1" ht="25.5" customHeight="1">
      <c r="B295" s="119"/>
      <c r="C295" s="1"/>
      <c r="D295" s="1"/>
      <c r="E295" s="1"/>
      <c r="K295" s="203"/>
      <c r="M295" s="350"/>
      <c r="O295" s="433"/>
    </row>
    <row r="296" spans="2:15" s="168" customFormat="1" ht="25.5" customHeight="1">
      <c r="B296" s="119"/>
      <c r="C296" s="1"/>
      <c r="D296" s="1"/>
      <c r="E296" s="1"/>
      <c r="K296" s="203"/>
      <c r="M296" s="350"/>
      <c r="O296" s="433"/>
    </row>
    <row r="297" spans="2:15" s="168" customFormat="1" ht="25.5" customHeight="1">
      <c r="B297" s="119"/>
      <c r="C297" s="1"/>
      <c r="D297" s="1"/>
      <c r="E297" s="1"/>
      <c r="K297" s="203"/>
      <c r="M297" s="350"/>
      <c r="O297" s="433"/>
    </row>
    <row r="298" spans="2:15" s="168" customFormat="1" ht="25.5" customHeight="1">
      <c r="B298" s="119"/>
      <c r="C298" s="1"/>
      <c r="D298" s="1"/>
      <c r="E298" s="1"/>
      <c r="K298" s="203"/>
      <c r="M298" s="350"/>
      <c r="O298" s="433"/>
    </row>
    <row r="299" spans="2:15" s="168" customFormat="1" ht="25.5" customHeight="1">
      <c r="B299" s="119"/>
      <c r="C299" s="1"/>
      <c r="D299" s="1"/>
      <c r="E299" s="1"/>
      <c r="K299" s="203"/>
      <c r="M299" s="350"/>
      <c r="O299" s="433"/>
    </row>
    <row r="300" spans="2:15" s="168" customFormat="1" ht="25.5" customHeight="1">
      <c r="B300" s="119"/>
      <c r="C300" s="1"/>
      <c r="D300" s="1"/>
      <c r="E300" s="1"/>
      <c r="K300" s="203"/>
      <c r="M300" s="350"/>
      <c r="O300" s="433"/>
    </row>
    <row r="301" spans="2:15" s="168" customFormat="1" ht="25.5" customHeight="1">
      <c r="B301" s="119"/>
      <c r="C301" s="1"/>
      <c r="D301" s="1"/>
      <c r="E301" s="1"/>
      <c r="K301" s="203"/>
      <c r="M301" s="350"/>
      <c r="O301" s="433"/>
    </row>
    <row r="302" spans="2:15" s="168" customFormat="1" ht="25.5" customHeight="1">
      <c r="B302" s="119"/>
      <c r="C302" s="1"/>
      <c r="D302" s="1"/>
      <c r="E302" s="1"/>
      <c r="K302" s="203"/>
      <c r="M302" s="350"/>
      <c r="O302" s="433"/>
    </row>
    <row r="303" spans="2:15" s="168" customFormat="1" ht="25.5" customHeight="1">
      <c r="B303" s="119"/>
      <c r="C303" s="1"/>
      <c r="D303" s="1"/>
      <c r="E303" s="1"/>
      <c r="K303" s="203"/>
      <c r="M303" s="350"/>
      <c r="O303" s="433"/>
    </row>
    <row r="304" spans="2:15" s="168" customFormat="1" ht="25.5" customHeight="1">
      <c r="B304" s="119"/>
      <c r="C304" s="1"/>
      <c r="D304" s="1"/>
      <c r="E304" s="1"/>
      <c r="K304" s="203"/>
      <c r="M304" s="350"/>
      <c r="O304" s="433"/>
    </row>
    <row r="305" spans="2:15" s="168" customFormat="1" ht="25.5" customHeight="1">
      <c r="B305" s="119"/>
      <c r="C305" s="1"/>
      <c r="D305" s="1"/>
      <c r="E305" s="1"/>
      <c r="K305" s="203"/>
      <c r="M305" s="350"/>
      <c r="O305" s="433"/>
    </row>
    <row r="306" spans="2:15" s="168" customFormat="1" ht="25.5" customHeight="1">
      <c r="B306" s="119"/>
      <c r="C306" s="1"/>
      <c r="D306" s="1"/>
      <c r="E306" s="1"/>
      <c r="K306" s="203"/>
      <c r="M306" s="350"/>
      <c r="O306" s="433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3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3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3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3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3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3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3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3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3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3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3"/>
    </row>
    <row r="318" spans="2:15" s="168" customFormat="1" ht="25.5" customHeight="1">
      <c r="B318" s="119"/>
      <c r="C318" s="1"/>
      <c r="D318" s="1"/>
      <c r="E318" s="1"/>
      <c r="K318" s="203"/>
      <c r="M318" s="350"/>
      <c r="O318" s="433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3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3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3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3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3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3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3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3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3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3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3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3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3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3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3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3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3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3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3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3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3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3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3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3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3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3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3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3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3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3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3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3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3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3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3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3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3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3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3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3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3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3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3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3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3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3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3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3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3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3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3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3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3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3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3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3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3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3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3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3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3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3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3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3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3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3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3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3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3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3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3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3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3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3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3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3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3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3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3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3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3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3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3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3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3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3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3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3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3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3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3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3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3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3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3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3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3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3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3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3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3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3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3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3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3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3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3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3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3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3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3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3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3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3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3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3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3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3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3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3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3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3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3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3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3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3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3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3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3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3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3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3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3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3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3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3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3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3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3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3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3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3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3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3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3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3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3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3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3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3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3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3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3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3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3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3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3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3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3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3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3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3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3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3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3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3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3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3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3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3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3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3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3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3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3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3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3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3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3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3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3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3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3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3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3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3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3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3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3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3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3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3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3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3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3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3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3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3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3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3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3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3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3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3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3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3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3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3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3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3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3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3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3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3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3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3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3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3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3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3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3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3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3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3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3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3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3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3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3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3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3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3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3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3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3"/>
    </row>
  </sheetData>
  <sheetProtection algorithmName="SHA-512" hashValue="bTI5ItqJY2yhpagQ17kwPVX1UD/4vc7aavkwy0Y08UbQLc7/9BNIsHtGGleMzbm1PJgKAjEaFxFBa/MhyKtQMQ==" saltValue="UeJ5knMY6zU2hTQXdEMx3w==" spinCount="100000" sheet="1" objects="1" scenarios="1" selectLockedCells="1"/>
  <mergeCells count="58"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12:K112"/>
    <mergeCell ref="D113:E113"/>
    <mergeCell ref="F113:G113"/>
    <mergeCell ref="H113:I113"/>
    <mergeCell ref="J113:K113"/>
    <mergeCell ref="B108:F108"/>
    <mergeCell ref="B109:F109"/>
    <mergeCell ref="D112:E112"/>
    <mergeCell ref="F112:G112"/>
    <mergeCell ref="H112:I112"/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D3" sqref="D3"/>
    </sheetView>
  </sheetViews>
  <sheetFormatPr baseColWidth="10" defaultColWidth="17.5" defaultRowHeight="30" customHeight="1"/>
  <cols>
    <col min="1" max="1" width="10.1640625" style="518" customWidth="1"/>
    <col min="2" max="3" width="17.5" style="518"/>
    <col min="4" max="4" width="17.5" style="525"/>
    <col min="5" max="6" width="23.1640625" style="518" bestFit="1" customWidth="1"/>
    <col min="7" max="7" width="22.5" style="556" bestFit="1" customWidth="1"/>
    <col min="8" max="16384" width="17.5" style="518"/>
  </cols>
  <sheetData>
    <row r="1" spans="2:14" s="52" customFormat="1" ht="30" customHeight="1">
      <c r="B1" s="53"/>
      <c r="D1" s="55"/>
      <c r="G1" s="552"/>
      <c r="L1" s="54"/>
      <c r="N1" s="55"/>
    </row>
    <row r="2" spans="2:14" s="152" customFormat="1" ht="30" customHeight="1">
      <c r="B2" s="125" t="s">
        <v>5</v>
      </c>
      <c r="C2" s="123"/>
      <c r="D2" s="124" t="s">
        <v>371</v>
      </c>
      <c r="E2" s="124" t="s">
        <v>372</v>
      </c>
      <c r="F2" s="124" t="s">
        <v>373</v>
      </c>
      <c r="G2" s="548" t="s">
        <v>374</v>
      </c>
      <c r="I2" s="123" t="s">
        <v>375</v>
      </c>
      <c r="J2" s="124"/>
      <c r="K2" s="124"/>
    </row>
    <row r="3" spans="2:14" s="52" customFormat="1" ht="30" customHeight="1">
      <c r="B3" s="135" t="s">
        <v>376</v>
      </c>
      <c r="C3" s="46"/>
      <c r="D3" s="150">
        <v>55</v>
      </c>
      <c r="E3" s="131">
        <f t="shared" ref="E3:E6" si="0">D3*SEK</f>
        <v>55</v>
      </c>
      <c r="F3" s="133">
        <f>D3*EUR</f>
        <v>5.2094899999999997</v>
      </c>
      <c r="G3" s="131">
        <f t="shared" ref="G3:G11" si="1">(D3*(1+Safespring.price.increase))*(1+sunet.price.increase)</f>
        <v>67.650000000000006</v>
      </c>
      <c r="I3" s="88" t="s">
        <v>214</v>
      </c>
      <c r="J3" s="49"/>
      <c r="K3" s="515">
        <v>1</v>
      </c>
    </row>
    <row r="4" spans="2:14" s="52" customFormat="1" ht="30" customHeight="1">
      <c r="B4" s="86" t="s">
        <v>377</v>
      </c>
      <c r="C4" s="85"/>
      <c r="D4" s="150">
        <v>3.6</v>
      </c>
      <c r="E4" s="132">
        <f t="shared" si="0"/>
        <v>3.6</v>
      </c>
      <c r="F4" s="134">
        <f>D4*EUR</f>
        <v>0.34098479999999998</v>
      </c>
      <c r="G4" s="551">
        <f t="shared" si="1"/>
        <v>4.4279999999999999</v>
      </c>
      <c r="I4" s="122" t="s">
        <v>373</v>
      </c>
      <c r="K4" s="516">
        <v>9.4717999999999997E-2</v>
      </c>
    </row>
    <row r="5" spans="2:14" s="52" customFormat="1" ht="30" customHeight="1">
      <c r="B5" s="135" t="s">
        <v>378</v>
      </c>
      <c r="C5" s="46"/>
      <c r="D5" s="150">
        <v>80</v>
      </c>
      <c r="E5" s="131">
        <f t="shared" si="0"/>
        <v>80</v>
      </c>
      <c r="F5" s="133">
        <f t="shared" ref="F5:F6" si="2">D5*EUR</f>
        <v>7.5774399999999993</v>
      </c>
      <c r="G5" s="131">
        <f t="shared" si="1"/>
        <v>98.4</v>
      </c>
      <c r="I5" s="88" t="s">
        <v>280</v>
      </c>
      <c r="J5" s="49"/>
      <c r="K5" s="517">
        <v>1</v>
      </c>
    </row>
    <row r="6" spans="2:14" s="52" customFormat="1" ht="30" customHeight="1">
      <c r="B6" s="86" t="s">
        <v>379</v>
      </c>
      <c r="C6" s="85"/>
      <c r="D6" s="150">
        <v>1</v>
      </c>
      <c r="E6" s="132">
        <f t="shared" si="0"/>
        <v>1</v>
      </c>
      <c r="F6" s="134">
        <f t="shared" si="2"/>
        <v>9.4717999999999997E-2</v>
      </c>
      <c r="G6" s="132">
        <f t="shared" si="1"/>
        <v>1.23</v>
      </c>
      <c r="I6" s="146"/>
      <c r="J6" s="147"/>
      <c r="K6" s="146"/>
    </row>
    <row r="7" spans="2:14" s="52" customFormat="1" ht="30" customHeight="1">
      <c r="B7" s="135" t="s">
        <v>380</v>
      </c>
      <c r="C7" s="46"/>
      <c r="D7" s="150">
        <v>5500</v>
      </c>
      <c r="E7" s="131">
        <f>D7*SEK</f>
        <v>5500</v>
      </c>
      <c r="F7" s="133">
        <f>D7*EUR</f>
        <v>520.94899999999996</v>
      </c>
      <c r="G7" s="131">
        <f t="shared" si="1"/>
        <v>6765</v>
      </c>
      <c r="J7" s="54"/>
    </row>
    <row r="8" spans="2:14" s="52" customFormat="1" ht="30" customHeight="1">
      <c r="B8" s="469" t="s">
        <v>381</v>
      </c>
      <c r="C8" s="470"/>
      <c r="D8" s="150">
        <v>2.66</v>
      </c>
      <c r="E8" s="471">
        <f>D8*IAAS_vcpu_SEK*SEK</f>
        <v>212.8</v>
      </c>
      <c r="F8" s="472">
        <f>D8*IAAS_vcpu_SEK*EUR</f>
        <v>20.1559904</v>
      </c>
      <c r="G8" s="471">
        <f t="shared" si="1"/>
        <v>3.2718000000000003</v>
      </c>
      <c r="I8" s="125" t="s">
        <v>382</v>
      </c>
      <c r="J8" s="126" t="s">
        <v>383</v>
      </c>
      <c r="K8" s="124" t="s">
        <v>95</v>
      </c>
    </row>
    <row r="9" spans="2:14" s="52" customFormat="1" ht="30" customHeight="1">
      <c r="B9" s="135" t="s">
        <v>384</v>
      </c>
      <c r="C9" s="46"/>
      <c r="D9" s="150">
        <v>65</v>
      </c>
      <c r="E9" s="561" t="s">
        <v>97</v>
      </c>
      <c r="F9" s="562" t="s">
        <v>97</v>
      </c>
      <c r="G9" s="131">
        <f t="shared" si="1"/>
        <v>79.95</v>
      </c>
      <c r="I9" s="47" t="s">
        <v>385</v>
      </c>
      <c r="J9" s="145"/>
      <c r="K9" s="17">
        <f>J9*IAAS_vcpu_SEK</f>
        <v>0</v>
      </c>
    </row>
    <row r="10" spans="2:14" s="52" customFormat="1" ht="30" customHeight="1">
      <c r="B10" s="469" t="s">
        <v>386</v>
      </c>
      <c r="C10" s="470"/>
      <c r="D10" s="150">
        <v>85</v>
      </c>
      <c r="E10" s="563" t="s">
        <v>97</v>
      </c>
      <c r="F10" s="564" t="s">
        <v>97</v>
      </c>
      <c r="G10" s="471">
        <f t="shared" si="1"/>
        <v>104.55</v>
      </c>
      <c r="I10" s="127" t="s">
        <v>387</v>
      </c>
      <c r="J10" s="145"/>
      <c r="K10" s="87">
        <f>J10*IAAS_ram_SEK</f>
        <v>0</v>
      </c>
    </row>
    <row r="11" spans="2:14" s="153" customFormat="1" ht="30" customHeight="1">
      <c r="B11" s="135" t="s">
        <v>388</v>
      </c>
      <c r="C11" s="46"/>
      <c r="D11" s="150">
        <v>3.8</v>
      </c>
      <c r="E11" s="561" t="s">
        <v>97</v>
      </c>
      <c r="F11" s="562" t="s">
        <v>97</v>
      </c>
      <c r="G11" s="131">
        <f t="shared" si="1"/>
        <v>4.6739999999999995</v>
      </c>
      <c r="I11" s="128" t="s">
        <v>360</v>
      </c>
      <c r="J11" s="129"/>
      <c r="K11" s="130">
        <f>SUM(K9:K10)</f>
        <v>0</v>
      </c>
    </row>
    <row r="12" spans="2:14" s="52" customFormat="1" ht="30" customHeight="1">
      <c r="B12" s="473"/>
      <c r="C12" s="474"/>
      <c r="D12" s="475"/>
      <c r="E12" s="475"/>
      <c r="F12" s="475"/>
      <c r="G12" s="549"/>
      <c r="L12" s="54"/>
      <c r="N12" s="518"/>
    </row>
    <row r="13" spans="2:14" ht="30" customHeight="1">
      <c r="B13" s="125" t="s">
        <v>389</v>
      </c>
      <c r="C13" s="123"/>
      <c r="D13" s="124" t="s">
        <v>371</v>
      </c>
      <c r="E13" s="124" t="s">
        <v>214</v>
      </c>
      <c r="F13" s="124" t="s">
        <v>373</v>
      </c>
      <c r="G13" s="548" t="s">
        <v>390</v>
      </c>
      <c r="I13" s="125" t="s">
        <v>391</v>
      </c>
      <c r="J13" s="125"/>
      <c r="K13" s="126" t="s">
        <v>392</v>
      </c>
      <c r="L13" s="519"/>
    </row>
    <row r="14" spans="2:14" ht="30" customHeight="1">
      <c r="B14" s="135" t="s">
        <v>61</v>
      </c>
      <c r="C14" s="46"/>
      <c r="D14" s="161">
        <f>INSTANCE_p1.4xlarge.16d_SEK/2</f>
        <v>6840</v>
      </c>
      <c r="E14" s="131">
        <f t="shared" ref="E14:E16" si="3">D14*SEK</f>
        <v>6840</v>
      </c>
      <c r="F14" s="133">
        <f t="shared" ref="F14:F16" si="4">D14*EUR</f>
        <v>647.87112000000002</v>
      </c>
      <c r="G14" s="550"/>
      <c r="I14" s="47" t="s">
        <v>393</v>
      </c>
      <c r="J14" s="47"/>
      <c r="K14" s="546">
        <v>0</v>
      </c>
    </row>
    <row r="15" spans="2:14" s="520" customFormat="1" ht="30" customHeight="1">
      <c r="B15" s="86" t="s">
        <v>63</v>
      </c>
      <c r="C15" s="85"/>
      <c r="D15" s="160">
        <v>13680</v>
      </c>
      <c r="E15" s="132">
        <f t="shared" si="3"/>
        <v>13680</v>
      </c>
      <c r="F15" s="134">
        <f t="shared" si="4"/>
        <v>1295.74224</v>
      </c>
      <c r="G15" s="551"/>
      <c r="I15" s="127" t="s">
        <v>394</v>
      </c>
      <c r="J15" s="127"/>
      <c r="K15" s="546">
        <v>0.23</v>
      </c>
    </row>
    <row r="16" spans="2:14" ht="30" customHeight="1">
      <c r="B16" s="135" t="s">
        <v>64</v>
      </c>
      <c r="C16" s="46"/>
      <c r="D16" s="161">
        <f>INSTANCE_p1.4xlarge.16d_SEK*2</f>
        <v>27360</v>
      </c>
      <c r="E16" s="131">
        <f t="shared" si="3"/>
        <v>27360</v>
      </c>
      <c r="F16" s="133">
        <f t="shared" si="4"/>
        <v>2591.4844800000001</v>
      </c>
      <c r="G16" s="550"/>
      <c r="I16" s="128"/>
      <c r="J16" s="129"/>
      <c r="K16" s="547"/>
    </row>
    <row r="17" spans="2:7" s="520" customFormat="1" ht="30" customHeight="1">
      <c r="B17" s="146"/>
      <c r="C17" s="146"/>
      <c r="D17" s="154"/>
      <c r="E17" s="146"/>
      <c r="F17" s="146"/>
      <c r="G17" s="553"/>
    </row>
    <row r="18" spans="2:7" ht="30" customHeight="1">
      <c r="B18" s="125" t="s">
        <v>5</v>
      </c>
      <c r="C18" s="123"/>
      <c r="D18" s="124" t="s">
        <v>371</v>
      </c>
      <c r="E18" s="124" t="s">
        <v>214</v>
      </c>
      <c r="F18" s="124" t="s">
        <v>373</v>
      </c>
      <c r="G18" s="548" t="s">
        <v>390</v>
      </c>
    </row>
    <row r="19" spans="2:7" s="520" customFormat="1" ht="30" customHeight="1">
      <c r="B19" s="135" t="s">
        <v>69</v>
      </c>
      <c r="C19" s="46"/>
      <c r="D19" s="150">
        <v>1.2</v>
      </c>
      <c r="E19" s="131">
        <f>D19*SEK</f>
        <v>1.2</v>
      </c>
      <c r="F19" s="133">
        <f>D19*EUR</f>
        <v>0.11366159999999999</v>
      </c>
      <c r="G19" s="550">
        <f>(D19*(1+Safespring.price.increase))*(1+sunet.price.increase)</f>
        <v>1.476</v>
      </c>
    </row>
    <row r="20" spans="2:7" ht="30" customHeight="1">
      <c r="B20" s="86" t="s">
        <v>72</v>
      </c>
      <c r="C20" s="85"/>
      <c r="D20" s="150">
        <v>3.6</v>
      </c>
      <c r="E20" s="132">
        <f>D20*SEK</f>
        <v>3.6</v>
      </c>
      <c r="F20" s="134">
        <f>D20*EUR</f>
        <v>0.34098479999999998</v>
      </c>
      <c r="G20" s="551">
        <f>(D20*(1+Safespring.price.increase))*(1+sunet.price.increase)</f>
        <v>4.4279999999999999</v>
      </c>
    </row>
    <row r="21" spans="2:7" s="520" customFormat="1" ht="30" customHeight="1">
      <c r="B21" s="521"/>
      <c r="C21" s="521"/>
      <c r="D21" s="522"/>
      <c r="E21" s="521"/>
      <c r="F21" s="521"/>
      <c r="G21" s="554"/>
    </row>
    <row r="22" spans="2:7" ht="30" customHeight="1">
      <c r="B22" s="125" t="s">
        <v>89</v>
      </c>
      <c r="C22" s="123"/>
      <c r="D22" s="124" t="s">
        <v>371</v>
      </c>
      <c r="E22" s="124" t="s">
        <v>214</v>
      </c>
      <c r="F22" s="124" t="s">
        <v>373</v>
      </c>
      <c r="G22" s="548" t="s">
        <v>390</v>
      </c>
    </row>
    <row r="23" spans="2:7" ht="30" customHeight="1">
      <c r="B23" s="135" t="s">
        <v>395</v>
      </c>
      <c r="C23" s="46"/>
      <c r="D23" s="150">
        <v>2.4500000000000002</v>
      </c>
      <c r="E23" s="131">
        <f t="shared" ref="E23:E26" si="5">D23*SEK</f>
        <v>2.4500000000000002</v>
      </c>
      <c r="F23" s="133">
        <f t="shared" ref="F23:F26" si="6">D23*EUR</f>
        <v>0.23205910000000002</v>
      </c>
      <c r="G23" s="550"/>
    </row>
    <row r="24" spans="2:7" ht="30" customHeight="1">
      <c r="B24" s="86" t="s">
        <v>396</v>
      </c>
      <c r="C24" s="85"/>
      <c r="D24" s="151">
        <v>5500</v>
      </c>
      <c r="E24" s="132">
        <f t="shared" ref="E24:E25" si="7">D24*SEK</f>
        <v>5500</v>
      </c>
      <c r="F24" s="134">
        <f t="shared" ref="F24:F25" si="8">D24*EUR</f>
        <v>520.94899999999996</v>
      </c>
      <c r="G24" s="551"/>
    </row>
    <row r="25" spans="2:7" ht="30" customHeight="1">
      <c r="B25" s="135" t="s">
        <v>397</v>
      </c>
      <c r="C25" s="46"/>
      <c r="D25" s="150">
        <v>9500</v>
      </c>
      <c r="E25" s="131">
        <f t="shared" si="7"/>
        <v>9500</v>
      </c>
      <c r="F25" s="133">
        <f t="shared" si="8"/>
        <v>899.82099999999991</v>
      </c>
      <c r="G25" s="550"/>
    </row>
    <row r="26" spans="2:7" ht="30" customHeight="1">
      <c r="B26" s="86" t="s">
        <v>398</v>
      </c>
      <c r="C26" s="85"/>
      <c r="D26" s="151">
        <v>1.75</v>
      </c>
      <c r="E26" s="132">
        <f t="shared" si="5"/>
        <v>1.75</v>
      </c>
      <c r="F26" s="134">
        <f t="shared" si="6"/>
        <v>0.1657565</v>
      </c>
      <c r="G26" s="551"/>
    </row>
    <row r="27" spans="2:7" ht="30" customHeight="1">
      <c r="B27" s="135" t="s">
        <v>399</v>
      </c>
      <c r="C27" s="46"/>
      <c r="D27" s="150">
        <v>0.92</v>
      </c>
      <c r="E27" s="131">
        <f t="shared" ref="E27" si="9">D27*SEK</f>
        <v>0.92</v>
      </c>
      <c r="F27" s="133">
        <f t="shared" ref="F27" si="10">D27*EUR</f>
        <v>8.7140560000000006E-2</v>
      </c>
      <c r="G27" s="550"/>
    </row>
    <row r="28" spans="2:7" ht="30" customHeight="1">
      <c r="B28" s="523"/>
      <c r="C28" s="523"/>
      <c r="D28" s="523"/>
      <c r="E28" s="523"/>
      <c r="F28" s="523"/>
      <c r="G28" s="555"/>
    </row>
    <row r="29" spans="2:7" ht="30" customHeight="1">
      <c r="B29" s="125" t="s">
        <v>74</v>
      </c>
      <c r="C29" s="123"/>
      <c r="D29" s="124" t="s">
        <v>371</v>
      </c>
      <c r="E29" s="124" t="s">
        <v>214</v>
      </c>
      <c r="F29" s="124" t="s">
        <v>373</v>
      </c>
      <c r="G29" s="548" t="s">
        <v>390</v>
      </c>
    </row>
    <row r="30" spans="2:7" ht="30" customHeight="1">
      <c r="B30" s="135" t="s">
        <v>400</v>
      </c>
      <c r="C30" s="46"/>
      <c r="D30" s="439">
        <v>350</v>
      </c>
      <c r="E30" s="131">
        <f t="shared" ref="E30:E33" si="11">D30*SEK</f>
        <v>350</v>
      </c>
      <c r="F30" s="133">
        <f t="shared" ref="F30:F33" si="12">D30*EUR</f>
        <v>33.151299999999999</v>
      </c>
      <c r="G30" s="550">
        <v>0.35</v>
      </c>
    </row>
    <row r="31" spans="2:7" ht="30" customHeight="1">
      <c r="B31" s="600" t="s">
        <v>401</v>
      </c>
      <c r="C31" s="85"/>
      <c r="D31" s="439">
        <v>270</v>
      </c>
      <c r="E31" s="132">
        <f t="shared" si="11"/>
        <v>270</v>
      </c>
      <c r="F31" s="134">
        <f t="shared" si="12"/>
        <v>25.57386</v>
      </c>
      <c r="G31" s="551">
        <v>0.19</v>
      </c>
    </row>
    <row r="32" spans="2:7" ht="30" customHeight="1">
      <c r="B32" s="135" t="s">
        <v>402</v>
      </c>
      <c r="C32" s="46"/>
      <c r="D32" s="439">
        <v>200</v>
      </c>
      <c r="E32" s="131">
        <f t="shared" si="11"/>
        <v>200</v>
      </c>
      <c r="F32" s="133">
        <f t="shared" si="12"/>
        <v>18.9436</v>
      </c>
      <c r="G32" s="550">
        <v>0.1</v>
      </c>
    </row>
    <row r="33" spans="2:7" ht="30" customHeight="1">
      <c r="B33" s="600" t="s">
        <v>403</v>
      </c>
      <c r="C33" s="85"/>
      <c r="D33" s="439">
        <v>185</v>
      </c>
      <c r="E33" s="132">
        <f t="shared" si="11"/>
        <v>185</v>
      </c>
      <c r="F33" s="134">
        <f t="shared" si="12"/>
        <v>17.522829999999999</v>
      </c>
      <c r="G33" s="551">
        <v>0.06</v>
      </c>
    </row>
    <row r="34" spans="2:7" ht="30" customHeight="1">
      <c r="B34" s="135" t="s">
        <v>404</v>
      </c>
      <c r="C34" s="46"/>
      <c r="D34" s="439" t="s">
        <v>405</v>
      </c>
      <c r="E34" s="158" t="str">
        <f>D34</f>
        <v>Be om offert</v>
      </c>
      <c r="F34" s="133" t="s">
        <v>173</v>
      </c>
      <c r="G34" s="158" t="str">
        <f>S3_storage.quote_SEK</f>
        <v>Be om offert</v>
      </c>
    </row>
    <row r="35" spans="2:7" ht="30" customHeight="1">
      <c r="B35" s="523"/>
      <c r="C35" s="523"/>
      <c r="D35" s="523"/>
      <c r="E35" s="523"/>
      <c r="F35" s="523"/>
      <c r="G35" s="555"/>
    </row>
    <row r="36" spans="2:7" ht="30" customHeight="1">
      <c r="B36" s="125" t="s">
        <v>406</v>
      </c>
      <c r="C36" s="123"/>
      <c r="D36" s="124" t="s">
        <v>371</v>
      </c>
      <c r="E36" s="124" t="s">
        <v>214</v>
      </c>
      <c r="F36" s="124" t="s">
        <v>373</v>
      </c>
      <c r="G36" s="548" t="s">
        <v>390</v>
      </c>
    </row>
    <row r="37" spans="2:7" ht="30" customHeight="1">
      <c r="B37" s="135" t="s">
        <v>108</v>
      </c>
      <c r="C37" s="46"/>
      <c r="D37" s="150">
        <v>20</v>
      </c>
      <c r="E37" s="131">
        <f t="shared" ref="E37:E43" si="13">D37*SEK</f>
        <v>20</v>
      </c>
      <c r="F37" s="133">
        <f>D37*EUR</f>
        <v>1.8943599999999998</v>
      </c>
      <c r="G37" s="550" t="s">
        <v>97</v>
      </c>
    </row>
    <row r="38" spans="2:7" ht="30" customHeight="1">
      <c r="B38" s="86" t="s">
        <v>112</v>
      </c>
      <c r="C38" s="85"/>
      <c r="D38" s="150">
        <v>0</v>
      </c>
      <c r="E38" s="132">
        <f t="shared" si="13"/>
        <v>0</v>
      </c>
      <c r="F38" s="134">
        <f t="shared" ref="F38:F43" si="14">D38*EUR</f>
        <v>0</v>
      </c>
      <c r="G38" s="551" t="s">
        <v>97</v>
      </c>
    </row>
    <row r="39" spans="2:7" ht="30" customHeight="1">
      <c r="B39" s="135" t="s">
        <v>114</v>
      </c>
      <c r="C39" s="46"/>
      <c r="D39" s="150">
        <v>0</v>
      </c>
      <c r="E39" s="131">
        <f t="shared" si="13"/>
        <v>0</v>
      </c>
      <c r="F39" s="133">
        <f t="shared" si="14"/>
        <v>0</v>
      </c>
      <c r="G39" s="550" t="s">
        <v>97</v>
      </c>
    </row>
    <row r="40" spans="2:7" ht="30" customHeight="1">
      <c r="B40" s="86" t="s">
        <v>116</v>
      </c>
      <c r="C40" s="85"/>
      <c r="D40" s="150">
        <v>0.25</v>
      </c>
      <c r="E40" s="132">
        <f t="shared" si="13"/>
        <v>0.25</v>
      </c>
      <c r="F40" s="134">
        <f>D40*EUR</f>
        <v>2.3679499999999999E-2</v>
      </c>
      <c r="G40" s="551" t="s">
        <v>97</v>
      </c>
    </row>
    <row r="41" spans="2:7" ht="30" customHeight="1">
      <c r="B41" s="135" t="s">
        <v>118</v>
      </c>
      <c r="C41" s="46"/>
      <c r="D41" s="150">
        <v>300</v>
      </c>
      <c r="E41" s="131">
        <f t="shared" si="13"/>
        <v>300</v>
      </c>
      <c r="F41" s="486">
        <f>D41*EUR</f>
        <v>28.415399999999998</v>
      </c>
      <c r="G41" s="550" t="s">
        <v>97</v>
      </c>
    </row>
    <row r="42" spans="2:7" ht="30" customHeight="1">
      <c r="B42" s="86" t="s">
        <v>121</v>
      </c>
      <c r="C42" s="85"/>
      <c r="D42" s="150">
        <v>0</v>
      </c>
      <c r="E42" s="132">
        <f t="shared" si="13"/>
        <v>0</v>
      </c>
      <c r="F42" s="134">
        <f t="shared" si="14"/>
        <v>0</v>
      </c>
      <c r="G42" s="551" t="s">
        <v>97</v>
      </c>
    </row>
    <row r="43" spans="2:7" ht="30" customHeight="1">
      <c r="B43" s="135" t="s">
        <v>123</v>
      </c>
      <c r="C43" s="46"/>
      <c r="D43" s="150">
        <v>0</v>
      </c>
      <c r="E43" s="131">
        <f t="shared" si="13"/>
        <v>0</v>
      </c>
      <c r="F43" s="133">
        <f t="shared" si="14"/>
        <v>0</v>
      </c>
      <c r="G43" s="550" t="s">
        <v>97</v>
      </c>
    </row>
    <row r="44" spans="2:7" ht="30" customHeight="1">
      <c r="B44" s="86" t="s">
        <v>125</v>
      </c>
      <c r="C44" s="85"/>
      <c r="D44" s="151">
        <v>0</v>
      </c>
      <c r="E44" s="132">
        <f t="shared" ref="E44" si="15">D44*SEK</f>
        <v>0</v>
      </c>
      <c r="F44" s="134">
        <f t="shared" ref="F44" si="16">D44*EUR</f>
        <v>0</v>
      </c>
      <c r="G44" s="551" t="s">
        <v>97</v>
      </c>
    </row>
    <row r="45" spans="2:7" ht="30" customHeight="1">
      <c r="B45" s="521"/>
      <c r="C45" s="521"/>
      <c r="D45" s="522"/>
      <c r="E45" s="521"/>
      <c r="F45" s="521"/>
      <c r="G45" s="554"/>
    </row>
    <row r="46" spans="2:7" ht="30" customHeight="1">
      <c r="B46" s="125" t="s">
        <v>407</v>
      </c>
      <c r="C46" s="123"/>
      <c r="D46" s="124" t="s">
        <v>371</v>
      </c>
      <c r="E46" s="124" t="s">
        <v>214</v>
      </c>
      <c r="F46" s="124" t="s">
        <v>373</v>
      </c>
      <c r="G46" s="548" t="s">
        <v>390</v>
      </c>
    </row>
    <row r="47" spans="2:7" ht="30" customHeight="1">
      <c r="B47" s="135" t="s">
        <v>408</v>
      </c>
      <c r="C47" s="46"/>
      <c r="D47" s="150">
        <v>78</v>
      </c>
      <c r="E47" s="131">
        <f t="shared" ref="E47:E53" si="17">D47*SEK</f>
        <v>78</v>
      </c>
      <c r="F47" s="133">
        <f>D47*EUR</f>
        <v>7.3880039999999996</v>
      </c>
      <c r="G47" s="550" t="s">
        <v>97</v>
      </c>
    </row>
    <row r="48" spans="2:7" ht="30" customHeight="1">
      <c r="B48" s="86" t="s">
        <v>132</v>
      </c>
      <c r="C48" s="85"/>
      <c r="D48" s="150">
        <v>1498</v>
      </c>
      <c r="E48" s="132">
        <f t="shared" si="17"/>
        <v>1498</v>
      </c>
      <c r="F48" s="134">
        <f>D48*EUR</f>
        <v>141.887564</v>
      </c>
      <c r="G48" s="551" t="s">
        <v>97</v>
      </c>
    </row>
    <row r="49" spans="2:9" ht="30" customHeight="1">
      <c r="B49" s="135" t="s">
        <v>134</v>
      </c>
      <c r="C49" s="46"/>
      <c r="D49" s="150">
        <v>9800</v>
      </c>
      <c r="E49" s="131">
        <f t="shared" si="17"/>
        <v>9800</v>
      </c>
      <c r="F49" s="133">
        <f>D49*EUR</f>
        <v>928.2364</v>
      </c>
      <c r="G49" s="550" t="s">
        <v>97</v>
      </c>
    </row>
    <row r="50" spans="2:9" ht="30" customHeight="1">
      <c r="B50" s="86" t="s">
        <v>136</v>
      </c>
      <c r="C50" s="85"/>
      <c r="D50" s="150"/>
      <c r="E50" s="156" t="s">
        <v>264</v>
      </c>
      <c r="F50" s="157" t="s">
        <v>409</v>
      </c>
      <c r="G50" s="551" t="s">
        <v>97</v>
      </c>
    </row>
    <row r="51" spans="2:9" ht="30" customHeight="1">
      <c r="B51" s="135" t="s">
        <v>410</v>
      </c>
      <c r="C51" s="46"/>
      <c r="D51" s="150"/>
      <c r="E51" s="158" t="s">
        <v>264</v>
      </c>
      <c r="F51" s="159" t="s">
        <v>409</v>
      </c>
      <c r="G51" s="550" t="s">
        <v>97</v>
      </c>
    </row>
    <row r="52" spans="2:9" ht="30" customHeight="1">
      <c r="B52" s="86" t="s">
        <v>140</v>
      </c>
      <c r="C52" s="85"/>
      <c r="D52" s="150"/>
      <c r="E52" s="156" t="s">
        <v>411</v>
      </c>
      <c r="F52" s="157" t="s">
        <v>412</v>
      </c>
      <c r="G52" s="551" t="s">
        <v>97</v>
      </c>
    </row>
    <row r="53" spans="2:9" ht="30" customHeight="1">
      <c r="B53" s="135" t="s">
        <v>142</v>
      </c>
      <c r="C53" s="46"/>
      <c r="D53" s="150">
        <v>400</v>
      </c>
      <c r="E53" s="131">
        <f t="shared" si="17"/>
        <v>400</v>
      </c>
      <c r="F53" s="133">
        <f>D53*EUR</f>
        <v>37.8872</v>
      </c>
      <c r="G53" s="550" t="s">
        <v>97</v>
      </c>
      <c r="I53" s="524"/>
    </row>
    <row r="54" spans="2:9" ht="30" customHeight="1">
      <c r="B54" s="521"/>
      <c r="C54" s="521"/>
      <c r="D54" s="522"/>
      <c r="E54" s="521"/>
      <c r="F54" s="521"/>
      <c r="G54" s="554"/>
      <c r="I54" s="524"/>
    </row>
    <row r="55" spans="2:9" ht="30" customHeight="1">
      <c r="B55" s="125" t="s">
        <v>257</v>
      </c>
      <c r="C55" s="123"/>
      <c r="D55" s="124" t="s">
        <v>371</v>
      </c>
      <c r="E55" s="124" t="s">
        <v>214</v>
      </c>
      <c r="F55" s="124" t="s">
        <v>373</v>
      </c>
      <c r="G55" s="548" t="s">
        <v>390</v>
      </c>
      <c r="I55" s="524"/>
    </row>
    <row r="56" spans="2:9" ht="30" customHeight="1">
      <c r="B56" s="135" t="s">
        <v>146</v>
      </c>
      <c r="C56" s="46"/>
      <c r="D56" s="150">
        <f>PAAS_man.kubernetes_EUR*10</f>
        <v>49000</v>
      </c>
      <c r="E56" s="131">
        <f t="shared" ref="E56:E61" si="18">D56*SEK</f>
        <v>49000</v>
      </c>
      <c r="F56" s="133">
        <v>4900</v>
      </c>
      <c r="G56" s="550" t="s">
        <v>97</v>
      </c>
      <c r="I56" s="524"/>
    </row>
    <row r="57" spans="2:9" ht="30" customHeight="1">
      <c r="B57" s="86" t="s">
        <v>149</v>
      </c>
      <c r="C57" s="85"/>
      <c r="D57" s="150">
        <f>PAAS_man.postgres.sql_EUR*10</f>
        <v>19500</v>
      </c>
      <c r="E57" s="132">
        <f t="shared" si="18"/>
        <v>19500</v>
      </c>
      <c r="F57" s="134">
        <v>1950</v>
      </c>
      <c r="G57" s="551" t="s">
        <v>97</v>
      </c>
      <c r="I57" s="524"/>
    </row>
    <row r="58" spans="2:9" ht="30" customHeight="1">
      <c r="B58" s="135" t="s">
        <v>152</v>
      </c>
      <c r="C58" s="46"/>
      <c r="D58" s="150">
        <f>PAAS_man.elasticsearch_EUR*10</f>
        <v>19500</v>
      </c>
      <c r="E58" s="131">
        <f t="shared" si="18"/>
        <v>19500</v>
      </c>
      <c r="F58" s="133">
        <v>1950</v>
      </c>
      <c r="G58" s="550" t="s">
        <v>97</v>
      </c>
      <c r="I58" s="524"/>
    </row>
    <row r="59" spans="2:9" ht="30" customHeight="1">
      <c r="B59" s="86" t="s">
        <v>154</v>
      </c>
      <c r="C59" s="85"/>
      <c r="D59" s="150">
        <f>PAAS_man.redis_EUR*10</f>
        <v>19000</v>
      </c>
      <c r="E59" s="132">
        <f t="shared" si="18"/>
        <v>19000</v>
      </c>
      <c r="F59" s="134">
        <v>1900</v>
      </c>
      <c r="G59" s="551" t="s">
        <v>97</v>
      </c>
      <c r="I59" s="524"/>
    </row>
    <row r="60" spans="2:9" ht="30" customHeight="1">
      <c r="B60" s="135" t="s">
        <v>157</v>
      </c>
      <c r="C60" s="46"/>
      <c r="D60" s="150">
        <f>PAAS_man.nats_EUR*10</f>
        <v>19500</v>
      </c>
      <c r="E60" s="131">
        <f t="shared" si="18"/>
        <v>19500</v>
      </c>
      <c r="F60" s="133">
        <v>1950</v>
      </c>
      <c r="G60" s="550" t="s">
        <v>97</v>
      </c>
    </row>
    <row r="61" spans="2:9" ht="30" customHeight="1">
      <c r="B61" s="86" t="s">
        <v>160</v>
      </c>
      <c r="C61" s="85"/>
      <c r="D61" s="150">
        <f>PAAS_man.mariadb_EUR*10</f>
        <v>19500</v>
      </c>
      <c r="E61" s="132">
        <f t="shared" si="18"/>
        <v>19500</v>
      </c>
      <c r="F61" s="134">
        <v>1950</v>
      </c>
      <c r="G61" s="551" t="s">
        <v>97</v>
      </c>
    </row>
    <row r="62" spans="2:9" ht="30" customHeight="1">
      <c r="B62" s="521"/>
      <c r="C62" s="521"/>
      <c r="D62" s="522"/>
      <c r="E62" s="521"/>
      <c r="F62" s="521"/>
      <c r="G62" s="554"/>
    </row>
    <row r="63" spans="2:9" ht="30" customHeight="1">
      <c r="B63" s="125" t="s">
        <v>266</v>
      </c>
      <c r="C63" s="123"/>
      <c r="D63" s="124" t="s">
        <v>371</v>
      </c>
      <c r="E63" s="124" t="s">
        <v>214</v>
      </c>
      <c r="F63" s="124" t="s">
        <v>373</v>
      </c>
      <c r="G63" s="548" t="s">
        <v>390</v>
      </c>
    </row>
    <row r="64" spans="2:9" ht="30" customHeight="1">
      <c r="B64" s="135" t="s">
        <v>176</v>
      </c>
      <c r="C64" s="46"/>
      <c r="D64" s="150">
        <v>1127</v>
      </c>
      <c r="E64" s="484">
        <f>D64*SEK</f>
        <v>1127</v>
      </c>
      <c r="F64" s="492">
        <f t="shared" ref="F64:F69" si="19">D64*EUR</f>
        <v>106.747186</v>
      </c>
      <c r="G64" s="550" t="s">
        <v>97</v>
      </c>
    </row>
    <row r="65" spans="2:7" ht="30" customHeight="1">
      <c r="B65" s="86" t="s">
        <v>178</v>
      </c>
      <c r="C65" s="85"/>
      <c r="D65" s="150">
        <v>1374</v>
      </c>
      <c r="E65" s="132">
        <f t="shared" ref="E65:E69" si="20">D65*SEK</f>
        <v>1374</v>
      </c>
      <c r="F65" s="493">
        <f t="shared" si="19"/>
        <v>130.14253199999999</v>
      </c>
      <c r="G65" s="551" t="s">
        <v>97</v>
      </c>
    </row>
    <row r="66" spans="2:7" ht="30" customHeight="1">
      <c r="B66" s="135" t="s">
        <v>180</v>
      </c>
      <c r="C66" s="46"/>
      <c r="D66" s="150">
        <v>1277</v>
      </c>
      <c r="E66" s="131">
        <f t="shared" si="20"/>
        <v>1277</v>
      </c>
      <c r="F66" s="494">
        <f t="shared" si="19"/>
        <v>120.954886</v>
      </c>
      <c r="G66" s="550" t="s">
        <v>97</v>
      </c>
    </row>
    <row r="67" spans="2:7" ht="30" customHeight="1">
      <c r="B67" s="86" t="s">
        <v>182</v>
      </c>
      <c r="C67" s="85"/>
      <c r="D67" s="150">
        <v>1374</v>
      </c>
      <c r="E67" s="132">
        <f t="shared" si="20"/>
        <v>1374</v>
      </c>
      <c r="F67" s="493">
        <f t="shared" si="19"/>
        <v>130.14253199999999</v>
      </c>
      <c r="G67" s="551" t="s">
        <v>97</v>
      </c>
    </row>
    <row r="68" spans="2:7" ht="30" customHeight="1">
      <c r="B68" s="135" t="s">
        <v>184</v>
      </c>
      <c r="C68" s="46"/>
      <c r="D68" s="150">
        <v>1139</v>
      </c>
      <c r="E68" s="131">
        <f t="shared" si="20"/>
        <v>1139</v>
      </c>
      <c r="F68" s="494">
        <f t="shared" si="19"/>
        <v>107.883802</v>
      </c>
      <c r="G68" s="550" t="s">
        <v>97</v>
      </c>
    </row>
    <row r="69" spans="2:7" ht="30" customHeight="1">
      <c r="B69" s="86" t="s">
        <v>186</v>
      </c>
      <c r="C69" s="85"/>
      <c r="D69" s="150">
        <v>1374</v>
      </c>
      <c r="E69" s="132">
        <f t="shared" si="20"/>
        <v>1374</v>
      </c>
      <c r="F69" s="493">
        <f t="shared" si="19"/>
        <v>130.14253199999999</v>
      </c>
      <c r="G69" s="551" t="s">
        <v>97</v>
      </c>
    </row>
  </sheetData>
  <sheetProtection algorithmName="SHA-512" hashValue="g4JcV1/dJVwOEfR3pc772iPoGGQPmjZA7erjFpFFO2uumI8NZA163yUSHmFX3x7AnUaY738QiBzIfuZ7SWwh2Q==" saltValue="/MvPg8NQDHmfy6STVJLISg==" spinCount="100000" sheet="1" objects="1" scenarios="1" selectLockedCells="1"/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DA55C-3E04-43BC-9C10-F76F453885EF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c4dd6bfd-0b07-4feb-8f84-e45213ea2541"/>
    <ds:schemaRef ds:uri="b02d781b-7fa0-453e-8cce-8f68a10659e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122</vt:i4>
      </vt:variant>
    </vt:vector>
  </HeadingPairs>
  <TitlesOfParts>
    <vt:vector size="127" baseType="lpstr">
      <vt:lpstr>EUR - Safespring priser 2020</vt:lpstr>
      <vt:lpstr>SEK - Safespring priser 2021</vt:lpstr>
      <vt:lpstr>NOK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'NOK - Safespring priser 2020'!Utskriftsområde</vt:lpstr>
      <vt:lpstr>'SEK - Safespring priser 2021'!Utskriftsområde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>Petter Hylin</dc:creator>
  <cp:keywords/>
  <dc:description/>
  <cp:lastModifiedBy>Marcus Boberg</cp:lastModifiedBy>
  <cp:revision/>
  <cp:lastPrinted>2021-01-20T12:20:53Z</cp:lastPrinted>
  <dcterms:created xsi:type="dcterms:W3CDTF">2015-05-31T16:02:08Z</dcterms:created>
  <dcterms:modified xsi:type="dcterms:W3CDTF">2021-01-20T12:21:11Z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