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9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38DF1EF9-E9D4-2F48-B1FF-D7E83E1F82E5}" xr6:coauthVersionLast="47" xr6:coauthVersionMax="47" xr10:uidLastSave="{00000000-0000-0000-0000-000000000000}"/>
  <workbookProtection workbookAlgorithmName="SHA-512" workbookHashValue="LYkNUqGR6SDxPPulu0srhij/82XpjzU6mlL4I75frwYK7r94npEo+sSMnNN+aoqvKNyueXsNe0W4MhNsEiX27Q==" workbookSaltValue="+W0oW3gb0G0ZIZzR7jzkUg==" workbookSpinCount="100000" lockStructure="1"/>
  <bookViews>
    <workbookView xWindow="0" yWindow="760" windowWidth="30240" windowHeight="18880" tabRatio="530" activeTab="6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2024'!$A$3:$L$242</definedName>
    <definedName name="_xlnm.Print_Area" localSheetId="2">'EUR - Safespring services 2021'!$I$43:$I$65</definedName>
    <definedName name="_xlnm.Print_Area" localSheetId="6">'EUR - Safespring services 2024'!$A$3:$L$242</definedName>
    <definedName name="_xlnm.Print_Area" localSheetId="1">'NOK - Safespring tjenester 2024'!$A$1:$L$243</definedName>
    <definedName name="_xlnm.Print_Area" localSheetId="3">'NOK - Safesprings tjeneste 2021'!$A$1:$N$305</definedName>
    <definedName name="_xlnm.Print_Area" localSheetId="0">'SEK - Safesprings tjänster 2024'!$A$1:$L$242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3" l="1" a="1"/>
  <c r="C230" i="13" s="1"/>
  <c r="C231" i="12" a="1"/>
  <c r="C231" i="12" s="1"/>
  <c r="C230" i="3" a="1"/>
  <c r="C230" i="3" s="1"/>
  <c r="K178" i="13"/>
  <c r="K177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/>
  <c r="F66" i="13" a="1"/>
  <c r="E66" i="13" a="1"/>
  <c r="E66" i="13" s="1"/>
  <c r="D66" i="13" a="1"/>
  <c r="D66" i="13" s="1"/>
  <c r="C66" i="13"/>
  <c r="C66" i="13" a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D57" i="13" s="1" a="1"/>
  <c r="D57" i="13" s="1"/>
  <c r="C47" i="13"/>
  <c r="C57" i="13" s="1" a="1"/>
  <c r="C57" i="13" s="1"/>
  <c r="B47" i="13"/>
  <c r="I40" i="13"/>
  <c r="E40" i="13"/>
  <c r="E40" i="13" a="1"/>
  <c r="C40" i="13" a="1"/>
  <c r="C40" i="13" s="1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D40" i="13" s="1" a="1"/>
  <c r="D40" i="13" s="1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6" i="3"/>
  <c r="K177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C230" i="11" l="1" a="1"/>
  <c r="C230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1" i="13" s="1"/>
  <c r="D114" i="8"/>
  <c r="C231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1" i="13" s="1"/>
  <c r="C232" i="12"/>
  <c r="K97" i="11"/>
  <c r="J231" i="11" s="1"/>
  <c r="C231" i="11"/>
  <c r="L174" i="8"/>
  <c r="G134" i="11"/>
  <c r="L173" i="8"/>
  <c r="G133" i="11"/>
  <c r="K133" i="11" s="1"/>
  <c r="K135" i="11" s="1"/>
  <c r="K97" i="12"/>
  <c r="J232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200" i="13" s="1"/>
  <c r="F73" i="4"/>
  <c r="K201" i="13" s="1"/>
  <c r="F74" i="4"/>
  <c r="K202" i="13" s="1"/>
  <c r="F75" i="4"/>
  <c r="K203" i="13" s="1"/>
  <c r="F76" i="4"/>
  <c r="K204" i="13" s="1"/>
  <c r="F71" i="4"/>
  <c r="K199" i="13" s="1"/>
  <c r="F45" i="4"/>
  <c r="F42" i="4"/>
  <c r="L167" i="8"/>
  <c r="E71" i="4"/>
  <c r="K200" i="12" s="1"/>
  <c r="E76" i="4"/>
  <c r="K205" i="12" s="1"/>
  <c r="E75" i="4"/>
  <c r="K204" i="12" s="1"/>
  <c r="E74" i="4"/>
  <c r="K203" i="12" s="1"/>
  <c r="E73" i="4"/>
  <c r="K202" i="12" s="1"/>
  <c r="E72" i="4"/>
  <c r="K201" i="12" s="1"/>
  <c r="K147" i="11" l="1"/>
  <c r="K147" i="13"/>
  <c r="K150" i="11"/>
  <c r="K150" i="13"/>
  <c r="L198" i="8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2" i="13" s="1"/>
  <c r="E23" i="4"/>
  <c r="G118" i="12" s="1"/>
  <c r="K118" i="12" s="1"/>
  <c r="K121" i="12" s="1"/>
  <c r="J233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2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1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30" i="13" s="1"/>
  <c r="J233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1" i="12" s="1"/>
  <c r="J234" i="12" s="1"/>
  <c r="K84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2" i="3" s="1"/>
  <c r="K82" i="3"/>
  <c r="K81" i="3"/>
  <c r="F82" i="3"/>
  <c r="F81" i="3"/>
  <c r="K84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<sst xmlns="http://schemas.openxmlformats.org/spreadsheetml/2006/main" count="2414" uniqueCount="739">
  <si>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</si>
  <si>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</si>
  <si>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</si>
  <si>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</si>
  <si>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</si>
  <si>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</si>
  <si>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</si>
  <si>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</si>
  <si>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</si>
  <si>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</si>
  <si>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</si>
  <si>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</si>
  <si>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</si>
  <si>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</si>
  <si>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</si>
  <si>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</si>
  <si>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</si>
  <si>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</si>
  <si>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</si>
  <si>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</si>
  <si>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</si>
  <si>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</si>
  <si>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</si>
  <si>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</si>
  <si>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</si>
  <si>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</si>
  <si>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</si>
  <si>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</si>
  <si>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</si>
  <si>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</si>
  <si>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</si>
  <si>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</si>
  <si>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</si>
  <si>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</si>
  <si>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</si>
  <si>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</si>
  <si>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</si>
  <si>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</si>
  <si>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</si>
  <si>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</si>
  <si>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</si>
  <si>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</si>
  <si>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</si>
  <si>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</si>
  <si>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</si>
  <si>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</si>
  <si>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</si>
  <si>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</si>
  <si>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</si>
  <si>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</si>
  <si>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</si>
  <si>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</si>
  <si>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</si>
  <si>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</si>
  <si>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</si>
  <si>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</si>
  <si>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</si>
  <si>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</si>
  <si>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</si>
  <si>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</si>
  <si>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</si>
  <si>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</si>
  <si>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</si>
  <si>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</si>
  <si>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</si>
  <si>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</si>
  <si>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</si>
  <si>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</si>
  <si>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</si>
  <si>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</si>
  <si>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</si>
  <si>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</si>
  <si>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</si>
  <si>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</si>
  <si>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</si>
  <si>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</si>
  <si>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</si>
  <si>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</si>
  <si>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</si>
  <si>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</si>
  <si>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</si>
  <si>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</si>
  <si>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</si>
  <si>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</si>
  <si>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</si>
  <si>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</si>
  <si>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</si>
  <si>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</si>
  <si>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</si>
  <si>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</si>
  <si>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</si>
  <si>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</si>
  <si>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</si>
  <si>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</si>
  <si>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</si>
  <si>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</si>
  <si>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</si>
  <si>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</si>
  <si>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</si>
  <si>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</si>
  <si>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</si>
  <si>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</si>
  <si>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</si>
  <si>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</si>
  <si>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</si>
  <si>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</si>
  <si>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</si>
  <si>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</si>
  <si>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</si>
  <si>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</si>
  <si>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</si>
  <si>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</si>
  <si>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</si>
  <si>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</si>
  <si>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</si>
  <si>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</si>
  <si>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</si>
  <si>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</si>
  <si>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</si>
  <si>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</si>
  <si>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</si>
  <si>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</si>
  <si>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</si>
  <si>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</si>
  <si>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</si>
  <si>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</si>
  <si>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</si>
  <si>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</si>
  <si>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</si>
  <si>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</si>
  <si>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</si>
  <si>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</si>
  <si>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</si>
  <si>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</si>
  <si>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</si>
  <si>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</si>
  <si>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</si>
  <si>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</si>
  <si>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</si>
  <si>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</si>
  <si>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</si>
  <si>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</si>
  <si>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</si>
  <si>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</si>
  <si>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</si>
  <si>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</si>
  <si>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</si>
  <si>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</si>
  <si>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</si>
  <si>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</si>
  <si>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</si>
  <si>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</si>
  <si>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</si>
  <si>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</si>
  <si>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</si>
  <si>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</si>
  <si>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</si>
  <si>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</si>
  <si>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</si>
  <si>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</si>
  <si>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</si>
  <si>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</si>
  <si>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</si>
  <si>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</si>
  <si>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</si>
  <si>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</si>
  <si>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</si>
  <si>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</si>
  <si>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</si>
  <si>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</si>
  <si>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</si>
  <si>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</si>
  <si>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</si>
  <si>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</si>
  <si>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</si>
  <si>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</si>
  <si>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</si>
  <si>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</si>
  <si>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</si>
  <si>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</si>
  <si>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</si>
  <si>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</si>
  <si>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</si>
  <si>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</si>
  <si>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</si>
  <si>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</si>
  <si>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</si>
  <si>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</si>
  <si>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</si>
  <si>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</si>
  <si>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</si>
  <si>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</si>
  <si>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</si>
  <si>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</si>
  <si>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</si>
  <si>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</si>
  <si>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</si>
  <si>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</si>
  <si>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</si>
  <si>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</si>
  <si>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</si>
  <si>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</si>
  <si>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</si>
  <si>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</si>
  <si>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</si>
  <si>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</si>
  <si>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</si>
  <si>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</si>
  <si>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</si>
  <si>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</si>
  <si>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</si>
  <si>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</si>
  <si>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</si>
  <si>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</si>
  <si>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</si>
  <si>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</si>
  <si>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</si>
  <si>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</si>
  <si>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</si>
  <si>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</si>
  <si>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</si>
  <si>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</si>
  <si>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</si>
  <si>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</si>
  <si>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</si>
  <si>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</si>
  <si>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</si>
  <si>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</si>
  <si>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</si>
  <si>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</si>
  <si>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</si>
  <si>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</si>
  <si>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</si>
  <si>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</si>
  <si>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</si>
  <si>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</si>
  <si>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</si>
  <si>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</si>
  <si>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</si>
  <si>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</si>
  <si>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</si>
  <si>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</si>
  <si>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</si>
  <si>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</si>
  <si>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</si>
  <si>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</si>
  <si>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</si>
  <si>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</si>
  <si>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</si>
  <si>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</si>
  <si>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</si>
  <si>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</si>
  <si>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</si>
  <si>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</si>
  <si>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</si>
  <si>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</si>
  <si>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</si>
  <si>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</si>
  <si>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</si>
  <si>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</si>
  <si>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</si>
  <si>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</si>
  <si>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</si>
  <si>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</si>
  <si>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</si>
  <si>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</si>
  <si>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</si>
  <si>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</si>
  <si>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</si>
  <si>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</si>
  <si>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</si>
  <si>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</si>
  <si>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</si>
  <si>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</si>
  <si>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</si>
  <si>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</si>
  <si>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</si>
  <si>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</si>
  <si>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</si>
  <si>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</si>
  <si>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</si>
  <si>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</si>
  <si>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</si>
  <si>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</si>
  <si>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</si>
  <si>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</si>
  <si>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</si>
  <si>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</si>
  <si>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</si>
  <si>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</si>
  <si>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</si>
  <si>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</si>
  <si>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</si>
  <si>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</si>
  <si>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</si>
  <si>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</si>
  <si>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</si>
  <si>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</si>
  <si>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</si>
  <si>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</si>
  <si>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</si>
  <si>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</si>
  <si>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</si>
  <si>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</si>
  <si>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</si>
  <si>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</si>
  <si>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</si>
  <si>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</si>
  <si>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</si>
  <si>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</si>
  <si>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</si>
  <si>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</si>
  <si>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</si>
  <si>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</si>
  <si>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</si>
  <si>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</si>
  <si>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</si>
  <si>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</si>
  <si>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</si>
  <si>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</si>
  <si>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</si>
  <si>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</si>
  <si>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</si>
  <si>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</si>
  <si>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</si>
  <si>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</si>
  <si>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</si>
  <si>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</si>
  <si>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</si>
  <si>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</si>
  <si>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</si>
  <si>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</si>
  <si>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</si>
  <si>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</si>
  <si>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</si>
  <si>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</si>
  <si>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</si>
  <si>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</si>
  <si>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</si>
  <si>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</si>
  <si>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</si>
  <si>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</si>
  <si>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</si>
  <si>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</si>
  <si>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</si>
  <si>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</si>
  <si>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</si>
  <si>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</si>
  <si>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</si>
  <si>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</si>
  <si>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</si>
  <si>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</si>
  <si>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</si>
  <si>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</si>
  <si>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</si>
  <si>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</si>
  <si>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</si>
  <si>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</si>
  <si>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</si>
  <si>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</si>
  <si>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</si>
  <si>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</si>
  <si>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</si>
  <si>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</si>
  <si>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</si>
  <si>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</si>
  <si>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</si>
  <si>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</si>
  <si>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</si>
  <si>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</si>
  <si>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</si>
  <si>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</si>
  <si>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</si>
  <si>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</si>
  <si>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</si>
  <si>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</si>
  <si>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</si>
  <si>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</si>
  <si>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</si>
  <si>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</si>
  <si>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</si>
  <si>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</si>
  <si>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</si>
  <si>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</si>
  <si>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</si>
  <si>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</si>
  <si>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</si>
  <si>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</si>
  <si>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</si>
  <si>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</si>
  <si>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</si>
  <si>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</si>
  <si>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</si>
  <si>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</si>
  <si>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</si>
  <si>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</si>
  <si>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</si>
  <si>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</si>
  <si>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</si>
  <si>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</si>
  <si>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</si>
  <si>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</si>
  <si>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</si>
  <si>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</si>
  <si>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</si>
  <si>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</si>
  <si>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</si>
  <si>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</si>
  <si>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</si>
  <si>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</si>
  <si>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</si>
  <si>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</si>
  <si>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</si>
  <si>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</si>
  <si>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</si>
  <si>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</si>
  <si>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</si>
  <si>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</si>
  <si>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</si>
  <si>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</si>
  <si>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</si>
  <si>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</si>
  <si>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</si>
  <si>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</si>
  <si>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</si>
  <si>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</si>
  <si>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</si>
  <si>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</si>
  <si>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</si>
  <si>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</si>
  <si>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</si>
  <si>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</si>
  <si>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</si>
  <si>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</si>
  <si>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</si>
  <si>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</si>
  <si>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</si>
  <si>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</si>
  <si>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</si>
  <si>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</si>
  <si>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</si>
  <si>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</si>
  <si>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</si>
  <si>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</si>
  <si>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</si>
  <si>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</si>
  <si>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</si>
  <si>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</si>
  <si>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</si>
  <si>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</si>
  <si>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</si>
  <si>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</si>
  <si>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</si>
  <si>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</si>
  <si>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</si>
  <si>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</si>
  <si>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</si>
  <si>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</si>
  <si>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</si>
  <si>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</si>
  <si>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</si>
  <si>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</si>
  <si>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</si>
  <si>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</si>
  <si>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</si>
  <si>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</si>
  <si>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</si>
  <si>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</si>
  <si>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</si>
  <si>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</si>
  <si>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</si>
  <si>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man.elasticsearch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</si>
  <si>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</si>
  <si>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</si>
  <si>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</si>
  <si>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</si>
  <si>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</si>
  <si>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</si>
  <si>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</si>
  <si>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</si>
  <si>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</si>
  <si>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</si>
  <si>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</si>
  <si>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</si>
  <si>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</si>
  <si>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</si>
  <si>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</si>
  <si>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</si>
  <si>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</si>
  <si>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</si>
  <si>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</si>
  <si>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</si>
  <si>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</si>
  <si>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</si>
  <si>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</si>
  <si>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</si>
  <si>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</si>
  <si>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</si>
  <si>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</si>
  <si>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</si>
  <si>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</si>
  <si>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</si>
  <si>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</si>
  <si>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</si>
  <si>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</si>
  <si>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</si>
  <si>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</si>
  <si>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</si>
  <si>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</si>
  <si>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</si>
  <si>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</si>
  <si>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</si>
  <si>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</si>
  <si>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</si>
  <si>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</si>
  <si>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</si>
  <si>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</si>
  <si>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</si>
  <si>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</si>
  <si>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</si>
  <si>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</si>
  <si>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</si>
  <si>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</si>
  <si>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</si>
  <si>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</si>
  <si>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</si>
  <si>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</si>
  <si>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</si>
  <si>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</si>
  <si>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</si>
  <si>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</si>
  <si>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</si>
  <si>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</si>
  <si>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</si>
  <si>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</si>
  <si>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</si>
  <si>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</si>
  <si>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</si>
  <si>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</si>
  <si>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</si>
  <si>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</si>
  <si>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</si>
  <si>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</si>
  <si>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</si>
  <si>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</si>
  <si>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</si>
  <si>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</si>
  <si>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</si>
  <si>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</si>
  <si>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</si>
  <si>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</si>
  <si>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</si>
  <si>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</si>
  <si>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</si>
  <si>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</si>
  <si>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</si>
  <si>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</si>
  <si>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</si>
  <si>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</si>
  <si>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</si>
  <si>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</si>
  <si>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</si>
  <si>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</si>
  <si>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</si>
  <si>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</si>
  <si>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</si>
  <si>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</si>
  <si>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</si>
  <si>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</si>
  <si>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</si>
  <si>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</si>
  <si>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</si>
  <si>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</si>
  <si>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</si>
  <si>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</si>
  <si>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</si>
  <si>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</si>
  <si>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</si>
  <si>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</si>
  <si>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</si>
  <si>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</si>
  <si>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</si>
  <si>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</si>
  <si>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</si>
  <si>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</si>
  <si>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</si>
  <si>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</si>
  <si>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</si>
  <si>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</si>
  <si>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</si>
  <si>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</si>
  <si>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</si>
  <si>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</si>
  <si>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</si>
  <si>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</si>
  <si>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</si>
  <si>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</si>
  <si>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</si>
  <si>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</si>
  <si>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</si>
  <si>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</si>
  <si>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</si>
  <si>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</si>
  <si>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</si>
  <si>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</si>
  <si>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</si>
  <si>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</si>
  <si>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</si>
  <si>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</si>
  <si>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</si>
  <si>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</si>
  <si>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</si>
  <si>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</si>
  <si>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</si>
  <si>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</si>
  <si>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</si>
  <si>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</si>
  <si>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</si>
  <si>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</si>
  <si>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</si>
  <si>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</si>
  <si>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</si>
  <si>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</si>
  <si>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</si>
  <si>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</si>
  <si>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</si>
  <si>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</si>
  <si>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</si>
  <si>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</si>
  <si>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</si>
  <si>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</si>
  <si>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</si>
  <si>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</si>
  <si>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</si>
  <si>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Single basic Jupyter notebook with 1 lab, 8vCPU/16GB RAM virtual machine</t>
  </si>
  <si>
    <r>
      <rPr>
        <sz val="10"/>
        <color theme="1" tint="0.39997558519241921"/>
        <rFont val="Montserrat Medium"/>
        <charset val="1"/>
      </rPr>
      <t>PAAS</t>
    </r>
    <r>
      <rPr>
        <sz val="11"/>
        <color theme="1"/>
        <rFont val="Montserrat Medium"/>
        <charset val="1"/>
      </rPr>
      <t>-jupyter.notebook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</si>
  <si>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</si>
  <si>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</si>
  <si>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</si>
  <si>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Windows SQL Server Enterprise</t>
  </si>
  <si>
    <t>Windows SQL Server standard</t>
  </si>
  <si>
    <t>Windows Server</t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</si>
  <si>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</si>
  <si>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</si>
  <si>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</si>
  <si>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</si>
  <si>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</si>
  <si>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</si>
  <si>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</si>
  <si>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</si>
  <si>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</si>
  <si>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</si>
  <si>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</si>
  <si>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</si>
  <si>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</si>
  <si>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</si>
  <si>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</si>
  <si>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Managed Elasticsearch (inkludert i Compliant Kubernetes)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</si>
  <si>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</si>
  <si>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</si>
  <si>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</si>
  <si>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</si>
  <si>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</si>
  <si>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</si>
  <si>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</si>
  <si>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</si>
  <si>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</si>
  <si>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</si>
  <si>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</si>
  <si>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</si>
  <si>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</si>
  <si>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</si>
  <si>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</si>
  <si>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Managed Elasticsearch (included in Compliant Kubernetes)</t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</si>
  <si>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</si>
  <si>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</si>
  <si>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</si>
  <si>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</si>
  <si>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</si>
  <si>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</si>
  <si>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</si>
  <si>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</si>
  <si>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</si>
  <si>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</si>
  <si>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</si>
  <si>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</si>
  <si>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</si>
  <si>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</si>
  <si>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</si>
  <si>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</si>
  <si>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</si>
  <si>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</si>
  <si>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</si>
  <si>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</si>
  <si>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</si>
  <si>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</si>
  <si>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</si>
  <si>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</si>
  <si>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</si>
  <si>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</si>
  <si>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</si>
  <si>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</si>
  <si>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</si>
  <si>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</si>
  <si>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Managed Elasticsearch (inkluderet i Compliant Kubernetes)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</si>
  <si>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</si>
  <si>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</si>
  <si>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</si>
  <si>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</si>
  <si>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</si>
  <si>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</si>
  <si>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</si>
  <si>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</si>
  <si>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</si>
  <si>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</si>
  <si>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</si>
  <si>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</si>
  <si>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</si>
  <si>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</si>
  <si>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</si>
  <si>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</si>
  <si>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</si>
  <si>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</si>
  <si>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</si>
  <si>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</si>
  <si>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</si>
  <si>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</si>
  <si>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</si>
  <si>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</si>
  <si>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</si>
  <si>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</si>
  <si>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</si>
  <si>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</si>
  <si>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</si>
  <si>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</si>
  <si>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Priskalkylator 2024-05-02</t>
  </si>
  <si>
    <t>Priskalkulator 2024-05-02</t>
  </si>
  <si>
    <t>Prisberegner 2024-05-02</t>
  </si>
  <si>
    <t>Price calculator 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</si>
</sst>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1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584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643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395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7" t="s">
        <v>633</v>
      </c>
      <c r="C24" s="987"/>
      <c r="D24" s="987"/>
      <c r="E24" s="987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605</v>
      </c>
      <c r="E25" s="131" t="s">
        <v>604</v>
      </c>
      <c r="F25" s="131" t="s">
        <v>210</v>
      </c>
      <c r="G25" s="131" t="s">
        <v>423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606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607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608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609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610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611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612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613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614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615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616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617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636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618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632</v>
      </c>
      <c r="C44" s="650"/>
      <c r="D44" s="650"/>
      <c r="K44" s="842"/>
      <c r="M44" s="664"/>
    </row>
    <row r="45" spans="2:19" ht="25" customHeight="1">
      <c r="B45" s="987" t="s">
        <v>633</v>
      </c>
      <c r="C45" s="987"/>
      <c r="D45" s="987"/>
      <c r="E45" s="987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434</v>
      </c>
      <c r="F46" s="12" t="s">
        <v>210</v>
      </c>
      <c r="G46" s="131" t="s">
        <v>423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619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620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621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622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623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624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625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626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627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628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579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579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423</v>
      </c>
      <c r="H80" s="24"/>
      <c r="I80" s="728" t="s">
        <v>66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1" t="s">
        <v>585</v>
      </c>
      <c r="C87" s="981"/>
      <c r="D87" s="981"/>
      <c r="E87" s="981"/>
      <c r="F87" s="981"/>
      <c r="G87" s="981"/>
      <c r="H87" s="981"/>
      <c r="I87" s="981"/>
      <c r="J87" s="981"/>
      <c r="K87" s="981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981"/>
      <c r="I88" s="981"/>
      <c r="J88" s="981"/>
      <c r="K88" s="981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981"/>
      <c r="I89" s="981"/>
      <c r="J89" s="981"/>
      <c r="K89" s="981"/>
      <c r="M89" s="664"/>
    </row>
    <row r="90" spans="2:20" s="4" customFormat="1" ht="25" customHeight="1">
      <c r="B90" s="549" t="s">
        <v>596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490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912" t="s">
        <v>582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 t="s">
        <v>583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591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644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407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435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554</v>
      </c>
      <c r="H117" s="24"/>
      <c r="I117" s="728" t="s">
        <v>90</v>
      </c>
      <c r="J117" s="728" t="s">
        <v>441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586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587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431</v>
      </c>
      <c r="D132" s="992"/>
      <c r="E132" s="992" t="s">
        <v>432</v>
      </c>
      <c r="F132" s="992"/>
      <c r="G132" s="992" t="s">
        <v>228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430</v>
      </c>
      <c r="F133" s="999"/>
      <c r="G133" s="993">
        <v>15000</v>
      </c>
      <c r="H133" s="994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429</v>
      </c>
      <c r="D134" s="998"/>
      <c r="E134" s="1000" t="s">
        <v>433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646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465" t="s">
        <v>407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494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645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728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442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403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635</v>
      </c>
      <c r="C175" s="129"/>
      <c r="D175" s="30"/>
      <c r="E175" s="30" t="s">
        <v>634</v>
      </c>
      <c r="F175" s="30"/>
      <c r="G175" s="30"/>
      <c r="H175" s="30"/>
      <c r="I175" s="30"/>
      <c r="J175" s="40"/>
      <c r="K175" s="629">
        <v>5650</v>
      </c>
      <c r="M175" s="664"/>
      <c r="N175" s="742"/>
      <c r="O175" s="8"/>
    </row>
    <row r="176" spans="2:18" ht="25" customHeight="1">
      <c r="B176" s="137" t="s">
        <v>473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tr">
        <f>PAAS_man.nats_SEK</f>
        <v>Begär offert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tr">
        <f>PAAS_man.mariadb_SEK</f>
        <v>Begär offert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245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K181" s="846"/>
      <c r="L181" s="742"/>
      <c r="M181" s="664"/>
      <c r="N181" s="675"/>
      <c r="O181" s="675"/>
    </row>
    <row r="182" spans="2:20" s="4" customFormat="1" ht="25" customHeight="1">
      <c r="B182" s="981" t="s">
        <v>241</v>
      </c>
      <c r="C182" s="981"/>
      <c r="D182" s="981"/>
      <c r="E182" s="981"/>
      <c r="F182" s="981"/>
      <c r="G182" s="981"/>
      <c r="H182" s="780"/>
      <c r="J182" s="674"/>
      <c r="K182" s="833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2" t="s">
        <v>495</v>
      </c>
      <c r="C185" s="982"/>
      <c r="D185" s="982"/>
      <c r="E185" s="982"/>
      <c r="F185" s="982"/>
      <c r="H185" s="780"/>
      <c r="J185" s="674"/>
      <c r="K185" s="833"/>
      <c r="M185" s="664"/>
    </row>
    <row r="186" spans="2:20" s="4" customFormat="1" ht="25" customHeight="1">
      <c r="B186" s="983" t="s">
        <v>407</v>
      </c>
      <c r="C186" s="983"/>
      <c r="D186" s="983"/>
      <c r="E186" s="983"/>
      <c r="F186" s="983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491</v>
      </c>
      <c r="M189" s="664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235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408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647</v>
      </c>
      <c r="E192" s="31"/>
      <c r="F192" s="771"/>
      <c r="G192" s="779"/>
      <c r="H192" s="779"/>
      <c r="I192" s="773" t="s">
        <v>242</v>
      </c>
      <c r="J192" s="773"/>
      <c r="K192" s="554" t="s">
        <v>488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648</v>
      </c>
      <c r="E193" s="129"/>
      <c r="F193" s="129"/>
      <c r="G193" s="129"/>
      <c r="H193" s="40"/>
      <c r="I193" s="770" t="s">
        <v>244</v>
      </c>
      <c r="J193" s="770"/>
      <c r="K193" s="555" t="s">
        <v>245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247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492</v>
      </c>
      <c r="M197" s="664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235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248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493</v>
      </c>
      <c r="M208" s="664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249</v>
      </c>
      <c r="H209" s="23"/>
      <c r="I209" s="23" t="s">
        <v>235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250</v>
      </c>
      <c r="E210" s="40"/>
      <c r="F210" s="30"/>
      <c r="G210" s="770" t="s">
        <v>251</v>
      </c>
      <c r="H210" s="770"/>
      <c r="I210" s="770" t="s">
        <v>252</v>
      </c>
      <c r="J210" s="770"/>
      <c r="K210" s="555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649</v>
      </c>
      <c r="E211" s="31"/>
      <c r="F211" s="771"/>
      <c r="G211" s="773" t="s">
        <v>251</v>
      </c>
      <c r="H211" s="773"/>
      <c r="I211" s="773" t="s">
        <v>252</v>
      </c>
      <c r="J211" s="773"/>
      <c r="K211" s="554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650</v>
      </c>
      <c r="E212" s="40"/>
      <c r="F212" s="30"/>
      <c r="G212" s="770" t="s">
        <v>253</v>
      </c>
      <c r="H212" s="770"/>
      <c r="I212" s="770" t="s">
        <v>252</v>
      </c>
      <c r="J212" s="770"/>
      <c r="K212" s="555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254</v>
      </c>
      <c r="E213" s="31"/>
      <c r="F213" s="771"/>
      <c r="G213" s="773" t="s">
        <v>253</v>
      </c>
      <c r="H213" s="773"/>
      <c r="I213" s="773" t="s">
        <v>252</v>
      </c>
      <c r="J213" s="773"/>
      <c r="K213" s="554" t="s">
        <v>245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9" t="s">
        <v>255</v>
      </c>
      <c r="C220" s="979"/>
      <c r="D220" s="979"/>
      <c r="E220" s="979"/>
      <c r="F220" s="979"/>
      <c r="G220" s="979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80" t="s">
        <v>407</v>
      </c>
      <c r="C223" s="980"/>
      <c r="D223" s="980"/>
      <c r="E223" s="980"/>
      <c r="F223" s="980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651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255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Storage"&amp;"     /     "&amp;K95&amp;" TB - Archive"</f>
        <v>0 TB - Storage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73" t="s">
        <v>222</v>
      </c>
      <c r="C233" s="807"/>
      <c r="D233" s="807"/>
      <c r="E233" s="807"/>
      <c r="F233" s="807"/>
      <c r="G233" s="807"/>
      <c r="H233" s="807"/>
      <c r="I233" s="807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652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440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653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/pOLylvTqsPAgcuB5wqDFipfbGRqlXpiZ/k9H9UGQSVlvZt86cB9CGaBuxwXTAzYfixTxqvL1PTv+4r/Tx0nGQ==" saltValue="PPbGGttsjyEMjkZbamZHXQ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20:G222"/>
    <mergeCell ref="B223:F223"/>
    <mergeCell ref="B139:G141"/>
    <mergeCell ref="B182:G184"/>
    <mergeCell ref="B185:F185"/>
    <mergeCell ref="B186:F186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426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654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545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2" t="s">
        <v>729</v>
      </c>
      <c r="C24" s="1002"/>
      <c r="D24" s="1002"/>
      <c r="E24" s="1002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434</v>
      </c>
      <c r="F25" s="131" t="s">
        <v>263</v>
      </c>
      <c r="G25" s="131" t="s">
        <v>548</v>
      </c>
      <c r="H25" s="686"/>
      <c r="I25" s="687" t="s">
        <v>550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632</v>
      </c>
      <c r="C44" s="650"/>
      <c r="D44" s="650"/>
      <c r="K44" s="842"/>
      <c r="M44" s="664"/>
    </row>
    <row r="45" spans="2:18" ht="25" customHeight="1">
      <c r="B45" s="1002" t="s">
        <v>729</v>
      </c>
      <c r="C45" s="1002"/>
      <c r="D45" s="1002"/>
      <c r="E45" s="1002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434</v>
      </c>
      <c r="F46" s="131" t="s">
        <v>263</v>
      </c>
      <c r="G46" s="131" t="s">
        <v>548</v>
      </c>
      <c r="H46" s="686"/>
      <c r="I46" s="687" t="s">
        <v>550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580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580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546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423</v>
      </c>
      <c r="H80" s="24"/>
      <c r="I80" s="728" t="s">
        <v>549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833"/>
      <c r="M87" s="664"/>
    </row>
    <row r="88" spans="2:26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833"/>
      <c r="M88" s="664"/>
    </row>
    <row r="89" spans="2:26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833"/>
      <c r="M89" s="664"/>
    </row>
    <row r="90" spans="2:26" s="4" customFormat="1" ht="25" customHeight="1">
      <c r="B90" s="549" t="s">
        <v>597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655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551</v>
      </c>
      <c r="H94" s="24"/>
      <c r="I94" s="728" t="s">
        <v>552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486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454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553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3" t="s">
        <v>545</v>
      </c>
      <c r="C114" s="983"/>
      <c r="D114" s="983"/>
      <c r="E114" s="983"/>
      <c r="F114" s="983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555</v>
      </c>
      <c r="H117" s="24"/>
      <c r="I117" s="728" t="s">
        <v>549</v>
      </c>
      <c r="J117" s="728" t="s">
        <v>556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560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3" t="s">
        <v>589</v>
      </c>
      <c r="C129" s="983"/>
      <c r="D129" s="983"/>
      <c r="E129" s="983"/>
      <c r="F129" s="983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578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561</v>
      </c>
      <c r="D132" s="992"/>
      <c r="E132" s="992" t="s">
        <v>562</v>
      </c>
      <c r="F132" s="992"/>
      <c r="G132" s="992" t="s">
        <v>281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577</v>
      </c>
      <c r="F133" s="999"/>
      <c r="G133" s="993">
        <v>15000</v>
      </c>
      <c r="H133" s="994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563</v>
      </c>
      <c r="D134" s="998"/>
      <c r="E134" s="1000" t="s">
        <v>564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287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983" t="s">
        <v>545</v>
      </c>
      <c r="C142" s="983"/>
      <c r="D142" s="983"/>
      <c r="E142" s="983"/>
      <c r="F142" s="983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565</v>
      </c>
      <c r="M146" s="664"/>
    </row>
    <row r="147" spans="2:19" ht="25" customHeight="1">
      <c r="B147" s="470" t="s">
        <v>208</v>
      </c>
      <c r="C147" s="23" t="s">
        <v>566</v>
      </c>
      <c r="D147" s="23"/>
      <c r="E147" s="24" t="s">
        <v>271</v>
      </c>
      <c r="F147" s="24"/>
      <c r="G147" s="24"/>
      <c r="H147" s="24"/>
      <c r="I147" s="24"/>
      <c r="J147" s="23" t="s">
        <v>568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460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461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462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463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464</v>
      </c>
      <c r="C152" s="129" t="s">
        <v>115</v>
      </c>
      <c r="D152" s="129"/>
      <c r="E152" s="30" t="s">
        <v>567</v>
      </c>
      <c r="F152" s="37"/>
      <c r="G152" s="37"/>
      <c r="H152" s="37"/>
      <c r="I152" s="37"/>
      <c r="J152" s="770" t="s">
        <v>238</v>
      </c>
      <c r="K152" s="555" t="s">
        <v>569</v>
      </c>
      <c r="M152" s="664"/>
    </row>
    <row r="153" spans="2:19" ht="25" customHeight="1">
      <c r="B153" s="137" t="s">
        <v>465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466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656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568</v>
      </c>
      <c r="K160" s="612" t="s">
        <v>264</v>
      </c>
      <c r="M160" s="664"/>
      <c r="N160" s="742"/>
      <c r="O160" s="8"/>
    </row>
    <row r="161" spans="2:18" ht="25" customHeight="1">
      <c r="B161" s="134" t="s">
        <v>590</v>
      </c>
      <c r="C161" s="129"/>
      <c r="D161" s="30"/>
      <c r="E161" s="30" t="s">
        <v>641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467</v>
      </c>
      <c r="C162" s="130"/>
      <c r="D162" s="38"/>
      <c r="E162" s="38" t="s">
        <v>640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638</v>
      </c>
      <c r="C163" s="129"/>
      <c r="D163" s="30"/>
      <c r="E163" s="30" t="s">
        <v>639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468</v>
      </c>
      <c r="C164" s="130"/>
      <c r="D164" s="38"/>
      <c r="E164" s="38" t="s">
        <v>131</v>
      </c>
      <c r="F164" s="771"/>
      <c r="G164" s="771"/>
      <c r="H164" s="771"/>
      <c r="I164" s="771"/>
      <c r="J164" s="773" t="s">
        <v>94</v>
      </c>
      <c r="K164" s="829" t="s">
        <v>642</v>
      </c>
      <c r="M164" s="664"/>
      <c r="N164" s="742"/>
      <c r="O164" s="8"/>
    </row>
    <row r="165" spans="2:18" ht="25" customHeight="1">
      <c r="B165" s="134" t="s">
        <v>469</v>
      </c>
      <c r="C165" s="129"/>
      <c r="D165" s="30"/>
      <c r="E165" s="30" t="s">
        <v>133</v>
      </c>
      <c r="F165" s="30"/>
      <c r="G165" s="30"/>
      <c r="H165" s="30"/>
      <c r="I165" s="30"/>
      <c r="J165" s="770" t="s">
        <v>94</v>
      </c>
      <c r="K165" s="828" t="s">
        <v>642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570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571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459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569</v>
      </c>
      <c r="M172" s="664"/>
      <c r="N172" s="742"/>
      <c r="O172" s="8"/>
    </row>
    <row r="173" spans="2:18" ht="25" customHeight="1">
      <c r="B173" s="137" t="s">
        <v>470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569</v>
      </c>
      <c r="M173" s="664"/>
      <c r="N173" s="742"/>
      <c r="O173" s="8"/>
    </row>
    <row r="174" spans="2:18" ht="25" customHeight="1">
      <c r="B174" s="134" t="s">
        <v>471</v>
      </c>
      <c r="C174" s="129"/>
      <c r="D174" s="30"/>
      <c r="E174" s="30" t="s">
        <v>657</v>
      </c>
      <c r="F174" s="30"/>
      <c r="G174" s="30"/>
      <c r="H174" s="30"/>
      <c r="I174" s="30"/>
      <c r="J174" s="40"/>
      <c r="K174" s="629" t="s">
        <v>569</v>
      </c>
      <c r="M174" s="664"/>
      <c r="N174" s="742"/>
      <c r="O174" s="8"/>
    </row>
    <row r="175" spans="2:18" ht="25" customHeight="1">
      <c r="B175" s="137" t="s">
        <v>472</v>
      </c>
      <c r="C175" s="130"/>
      <c r="D175" s="38"/>
      <c r="E175" s="38" t="s">
        <v>658</v>
      </c>
      <c r="F175" s="771"/>
      <c r="G175" s="771"/>
      <c r="H175" s="771"/>
      <c r="I175" s="771"/>
      <c r="J175" s="779"/>
      <c r="K175" s="867" t="s">
        <v>569</v>
      </c>
      <c r="M175" s="664"/>
      <c r="N175" s="742"/>
      <c r="O175" s="8"/>
    </row>
    <row r="176" spans="2:18" ht="25" customHeight="1">
      <c r="B176" s="134" t="s">
        <v>635</v>
      </c>
      <c r="C176" s="129"/>
      <c r="D176" s="30"/>
      <c r="E176" s="30" t="s">
        <v>634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473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569</v>
      </c>
      <c r="M177" s="664"/>
      <c r="N177" s="742"/>
      <c r="O177" s="8"/>
    </row>
    <row r="178" spans="2:20" ht="25" customHeight="1">
      <c r="B178" s="134" t="s">
        <v>474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569</v>
      </c>
      <c r="M178" s="664"/>
      <c r="N178" s="742"/>
      <c r="O178" s="8"/>
    </row>
    <row r="179" spans="2:20" ht="25" customHeight="1">
      <c r="B179" s="137" t="s">
        <v>436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569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81" t="s">
        <v>295</v>
      </c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1"/>
      <c r="C185" s="981"/>
      <c r="D185" s="981"/>
      <c r="E185" s="981"/>
      <c r="F185" s="981"/>
      <c r="G185" s="981"/>
      <c r="H185" s="780"/>
      <c r="J185" s="674"/>
      <c r="K185" s="833"/>
      <c r="M185" s="664"/>
    </row>
    <row r="186" spans="2:20" s="4" customFormat="1" ht="25" customHeight="1">
      <c r="B186" s="982" t="s">
        <v>572</v>
      </c>
      <c r="C186" s="982"/>
      <c r="D186" s="982"/>
      <c r="E186" s="982"/>
      <c r="F186" s="982"/>
      <c r="H186" s="780"/>
      <c r="J186" s="674"/>
      <c r="K186" s="833"/>
      <c r="M186" s="664"/>
    </row>
    <row r="187" spans="2:20" s="4" customFormat="1" ht="25" customHeight="1">
      <c r="B187" s="983" t="s">
        <v>545</v>
      </c>
      <c r="C187" s="983"/>
      <c r="D187" s="983"/>
      <c r="E187" s="983"/>
      <c r="F187" s="983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659</v>
      </c>
      <c r="M190" s="664"/>
    </row>
    <row r="191" spans="2:20" ht="25" customHeight="1">
      <c r="B191" s="470" t="s">
        <v>208</v>
      </c>
      <c r="C191" s="23"/>
      <c r="D191" s="24" t="s">
        <v>271</v>
      </c>
      <c r="E191" s="132"/>
      <c r="F191" s="24"/>
      <c r="G191" s="131"/>
      <c r="H191" s="131"/>
      <c r="I191" s="23" t="s">
        <v>568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660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476</v>
      </c>
      <c r="C193" s="130"/>
      <c r="D193" s="38" t="s">
        <v>661</v>
      </c>
      <c r="E193" s="31"/>
      <c r="F193" s="771"/>
      <c r="G193" s="779"/>
      <c r="H193" s="779"/>
      <c r="I193" s="773" t="s">
        <v>663</v>
      </c>
      <c r="J193" s="773"/>
      <c r="K193" s="554" t="s">
        <v>664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477</v>
      </c>
      <c r="C194" s="129"/>
      <c r="D194" s="30" t="s">
        <v>662</v>
      </c>
      <c r="E194" s="129"/>
      <c r="F194" s="129"/>
      <c r="G194" s="129"/>
      <c r="H194" s="40"/>
      <c r="I194" s="770" t="s">
        <v>244</v>
      </c>
      <c r="J194" s="770"/>
      <c r="K194" s="555" t="s">
        <v>569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573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574</v>
      </c>
      <c r="M198" s="664"/>
    </row>
    <row r="199" spans="2:18" ht="25" customHeight="1">
      <c r="B199" s="470" t="s">
        <v>208</v>
      </c>
      <c r="C199" s="23"/>
      <c r="D199" s="24" t="s">
        <v>271</v>
      </c>
      <c r="E199" s="132"/>
      <c r="F199" s="24"/>
      <c r="G199" s="131"/>
      <c r="H199" s="131"/>
      <c r="I199" s="23" t="s">
        <v>568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166</v>
      </c>
      <c r="E200" s="40"/>
      <c r="F200" s="30"/>
      <c r="G200" s="40"/>
      <c r="H200" s="40"/>
      <c r="I200" s="770" t="s">
        <v>244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168</v>
      </c>
      <c r="E201" s="31"/>
      <c r="F201" s="771"/>
      <c r="G201" s="779"/>
      <c r="H201" s="779"/>
      <c r="I201" s="773" t="s">
        <v>244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170</v>
      </c>
      <c r="E202" s="40"/>
      <c r="F202" s="30"/>
      <c r="G202" s="40"/>
      <c r="H202" s="40"/>
      <c r="I202" s="770" t="s">
        <v>244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172</v>
      </c>
      <c r="E203" s="38"/>
      <c r="F203" s="38"/>
      <c r="G203" s="779"/>
      <c r="H203" s="779"/>
      <c r="I203" s="773" t="s">
        <v>244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482</v>
      </c>
      <c r="C204" s="129"/>
      <c r="D204" s="30" t="s">
        <v>174</v>
      </c>
      <c r="E204" s="40"/>
      <c r="F204" s="30"/>
      <c r="G204" s="40"/>
      <c r="H204" s="40"/>
      <c r="I204" s="770" t="s">
        <v>244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483</v>
      </c>
      <c r="C205" s="130"/>
      <c r="D205" s="38" t="s">
        <v>176</v>
      </c>
      <c r="E205" s="31"/>
      <c r="F205" s="771"/>
      <c r="G205" s="779"/>
      <c r="H205" s="779"/>
      <c r="I205" s="773" t="s">
        <v>244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300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665</v>
      </c>
      <c r="M209" s="664"/>
    </row>
    <row r="210" spans="1:18" ht="25" customHeight="1">
      <c r="B210" s="470" t="s">
        <v>208</v>
      </c>
      <c r="C210" s="23"/>
      <c r="D210" s="24" t="s">
        <v>271</v>
      </c>
      <c r="E210" s="132"/>
      <c r="F210" s="24"/>
      <c r="G210" s="24"/>
      <c r="H210" s="23" t="s">
        <v>666</v>
      </c>
      <c r="I210" s="23" t="s">
        <v>568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669</v>
      </c>
      <c r="E211" s="40"/>
      <c r="F211" s="30"/>
      <c r="G211" s="30"/>
      <c r="H211" s="770" t="s">
        <v>251</v>
      </c>
      <c r="I211" s="770" t="s">
        <v>670</v>
      </c>
      <c r="J211" s="770"/>
      <c r="K211" s="555" t="s">
        <v>569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668</v>
      </c>
      <c r="E212" s="31"/>
      <c r="F212" s="771"/>
      <c r="G212" s="771"/>
      <c r="H212" s="773" t="s">
        <v>251</v>
      </c>
      <c r="I212" s="773" t="s">
        <v>670</v>
      </c>
      <c r="J212" s="773"/>
      <c r="K212" s="554" t="s">
        <v>569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602</v>
      </c>
      <c r="C213" s="129"/>
      <c r="D213" s="30" t="s">
        <v>667</v>
      </c>
      <c r="E213" s="40"/>
      <c r="F213" s="30"/>
      <c r="G213" s="30"/>
      <c r="H213" s="770" t="s">
        <v>575</v>
      </c>
      <c r="I213" s="770" t="s">
        <v>670</v>
      </c>
      <c r="J213" s="770"/>
      <c r="K213" s="555" t="s">
        <v>569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603</v>
      </c>
      <c r="C214" s="130"/>
      <c r="D214" s="38" t="s">
        <v>307</v>
      </c>
      <c r="E214" s="31"/>
      <c r="F214" s="771"/>
      <c r="G214" s="771"/>
      <c r="H214" s="773" t="s">
        <v>575</v>
      </c>
      <c r="I214" s="773" t="s">
        <v>670</v>
      </c>
      <c r="J214" s="773"/>
      <c r="K214" s="554" t="s">
        <v>569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9" t="s">
        <v>308</v>
      </c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/>
      <c r="C223" s="979"/>
      <c r="D223" s="979"/>
      <c r="E223" s="979"/>
      <c r="F223" s="979"/>
      <c r="G223" s="979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80" t="s">
        <v>545</v>
      </c>
      <c r="C224" s="980"/>
      <c r="D224" s="980"/>
      <c r="E224" s="980"/>
      <c r="F224" s="980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576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427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72" t="s">
        <v>598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484</v>
      </c>
      <c r="C230" s="56"/>
      <c r="D230" s="57"/>
      <c r="E230" s="56"/>
      <c r="F230" s="659"/>
      <c r="G230" s="659"/>
      <c r="H230" s="659"/>
      <c r="I230" s="56"/>
      <c r="J230" s="659" t="s">
        <v>308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1" s="71"/>
      <c r="E231" s="656"/>
      <c r="F231" s="656"/>
      <c r="G231" s="657"/>
      <c r="H231" s="800"/>
      <c r="I231" s="801"/>
      <c r="J231" s="660">
        <f>K66+K75+K57+K40+K84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K97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K121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7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3" t="s">
        <v>671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557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558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3" t="s">
        <v>559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5" t="s">
        <v>672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U8I/85ZI/3SZ8B0kceRtXuw1Of0S393HryIkag0xqW+qGh2cdUSKsFv2do75ADZzZwn/2nUeuUNjvwjMtmN0xQ==" saltValue="Ea8J/8Zss2kfjXowixNIDw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3:G185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6" t="str">
        <f>"1 SEK = "&amp;EUR&amp;" EUR"</f>
        <v>1 SEK = 0,089 EUR</v>
      </c>
      <c r="E11" s="1056"/>
      <c r="F11" s="1056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6"/>
      <c r="C16" s="1046"/>
      <c r="D16" s="1046"/>
      <c r="E16" s="1046"/>
      <c r="F16" s="1046"/>
      <c r="G16" s="1046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6"/>
      <c r="C17" s="1046"/>
      <c r="D17" s="1046"/>
      <c r="E17" s="1046"/>
      <c r="F17" s="1046"/>
      <c r="G17" s="1046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3" t="s">
        <v>6</v>
      </c>
      <c r="C19" s="1053"/>
      <c r="D19" s="1053"/>
      <c r="E19" s="1053"/>
      <c r="F19" s="1053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406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406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5" t="s">
        <v>65</v>
      </c>
      <c r="G88" s="1055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9">
        <f>VOLUME_large_EUR</f>
        <v>0.10679999999999999</v>
      </c>
      <c r="G89" s="1029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1">
        <f>VOLUME_fast_EUR</f>
        <v>0.32040000000000002</v>
      </c>
      <c r="G90" s="1051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565"/>
      <c r="O95" s="168"/>
    </row>
    <row r="96" spans="2:23" s="169" customFormat="1" ht="2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565"/>
      <c r="O96" s="168"/>
    </row>
    <row r="97" spans="2:22" s="169" customFormat="1" ht="2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565"/>
      <c r="O97" s="168"/>
    </row>
    <row r="98" spans="2:22" s="169" customFormat="1" ht="25" customHeight="1">
      <c r="B98" s="1052" t="s">
        <v>73</v>
      </c>
      <c r="C98" s="1052"/>
      <c r="D98" s="1052"/>
      <c r="E98" s="1052"/>
      <c r="F98" s="1052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3" t="s">
        <v>74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5" t="s">
        <v>76</v>
      </c>
      <c r="E102" s="1055"/>
      <c r="F102" s="1055"/>
      <c r="G102" s="1055"/>
      <c r="H102" s="266" t="s">
        <v>75</v>
      </c>
      <c r="I102" s="265"/>
      <c r="J102" s="1055"/>
      <c r="K102" s="1055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416</v>
      </c>
      <c r="D104" s="1049">
        <f>S3_storage.50_EUR</f>
        <v>31.15</v>
      </c>
      <c r="E104" s="1049"/>
      <c r="F104" s="1050"/>
      <c r="G104" s="1050"/>
      <c r="H104" s="1050"/>
      <c r="I104" s="1050"/>
      <c r="J104" s="1050"/>
      <c r="K104" s="1050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417</v>
      </c>
      <c r="D105" s="1058">
        <f>S3_storage.100_EUR</f>
        <v>24.029999999999998</v>
      </c>
      <c r="E105" s="1058"/>
      <c r="F105" s="1003"/>
      <c r="G105" s="1003"/>
      <c r="H105" s="1003"/>
      <c r="I105" s="1003"/>
      <c r="J105" s="1003"/>
      <c r="K105" s="1003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418</v>
      </c>
      <c r="D106" s="1059">
        <f>S3_storage.500_EUR</f>
        <v>17.8</v>
      </c>
      <c r="E106" s="1059"/>
      <c r="F106" s="1012"/>
      <c r="G106" s="1012"/>
      <c r="H106" s="1012"/>
      <c r="I106" s="1012"/>
      <c r="J106" s="1012"/>
      <c r="K106" s="101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419</v>
      </c>
      <c r="D107" s="1058">
        <f>S3_storage.1000_EUR</f>
        <v>16.465</v>
      </c>
      <c r="E107" s="1058"/>
      <c r="F107" s="1003"/>
      <c r="G107" s="1003"/>
      <c r="H107" s="1003"/>
      <c r="I107" s="1003"/>
      <c r="J107" s="1003"/>
      <c r="K107" s="1003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420</v>
      </c>
      <c r="D108" s="1004" t="str">
        <f>S3_storage.quote_EUR</f>
        <v>Request a quote</v>
      </c>
      <c r="E108" s="1004"/>
      <c r="F108" s="1013"/>
      <c r="G108" s="1013"/>
      <c r="H108" s="1013"/>
      <c r="I108" s="1013"/>
      <c r="J108" s="1013"/>
      <c r="K108" s="1013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7" t="s">
        <v>76</v>
      </c>
      <c r="E111" s="1057"/>
      <c r="F111" s="1055"/>
      <c r="G111" s="1055"/>
      <c r="H111" s="266" t="s">
        <v>75</v>
      </c>
      <c r="I111" s="266"/>
      <c r="J111" s="1055"/>
      <c r="K111" s="1055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410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410</v>
      </c>
      <c r="C113" s="604" t="s">
        <v>416</v>
      </c>
      <c r="D113" s="1049">
        <f>S3_archive.50_EUR</f>
        <v>31.15</v>
      </c>
      <c r="E113" s="1049"/>
      <c r="F113" s="1050"/>
      <c r="G113" s="1050"/>
      <c r="H113" s="1050"/>
      <c r="I113" s="1050"/>
      <c r="J113" s="1050"/>
      <c r="K113" s="1050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410</v>
      </c>
      <c r="C114" s="616" t="s">
        <v>417</v>
      </c>
      <c r="D114" s="1058">
        <f>S3_archive.100_EUR</f>
        <v>24.029999999999998</v>
      </c>
      <c r="E114" s="1058"/>
      <c r="F114" s="1003"/>
      <c r="G114" s="1003"/>
      <c r="H114" s="1003"/>
      <c r="I114" s="1003"/>
      <c r="J114" s="1003"/>
      <c r="K114" s="1003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410</v>
      </c>
      <c r="C115" s="604" t="s">
        <v>418</v>
      </c>
      <c r="D115" s="1059">
        <f>S3_archive.500_EUR</f>
        <v>17.8</v>
      </c>
      <c r="E115" s="1059"/>
      <c r="F115" s="1012"/>
      <c r="G115" s="1012"/>
      <c r="H115" s="1012"/>
      <c r="I115" s="1012"/>
      <c r="J115" s="1012"/>
      <c r="K115" s="101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410</v>
      </c>
      <c r="C116" s="616" t="s">
        <v>419</v>
      </c>
      <c r="D116" s="1058">
        <f>S3_archive.1000_EUR</f>
        <v>16.465</v>
      </c>
      <c r="E116" s="1058"/>
      <c r="F116" s="1003"/>
      <c r="G116" s="1003"/>
      <c r="H116" s="1003"/>
      <c r="I116" s="1003"/>
      <c r="J116" s="1003"/>
      <c r="K116" s="1003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410</v>
      </c>
      <c r="C117" s="608" t="s">
        <v>420</v>
      </c>
      <c r="D117" s="1004" t="str">
        <f>S3_archive.quote_EUR</f>
        <v>Request a quote</v>
      </c>
      <c r="E117" s="1004"/>
      <c r="F117" s="1013"/>
      <c r="G117" s="1013"/>
      <c r="H117" s="1013"/>
      <c r="I117" s="1013"/>
      <c r="J117" s="1013"/>
      <c r="K117" s="1013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6" t="s">
        <v>86</v>
      </c>
      <c r="C122" s="1046"/>
      <c r="D122" s="1046"/>
      <c r="E122" s="1046"/>
      <c r="F122" s="1046"/>
      <c r="G122" s="1046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6"/>
      <c r="C123" s="1046"/>
      <c r="D123" s="1046"/>
      <c r="E123" s="1046"/>
      <c r="F123" s="1046"/>
      <c r="G123" s="1046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6"/>
      <c r="C124" s="1046"/>
      <c r="D124" s="1046"/>
      <c r="E124" s="1046"/>
      <c r="F124" s="1046"/>
      <c r="G124" s="1046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60" t="s">
        <v>87</v>
      </c>
      <c r="C125" s="1060"/>
      <c r="D125" s="1060"/>
      <c r="E125" s="1060"/>
      <c r="F125" s="1060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7" t="s">
        <v>6</v>
      </c>
      <c r="C126" s="1047"/>
      <c r="D126" s="1047"/>
      <c r="E126" s="1047"/>
      <c r="F126" s="1047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5" t="s">
        <v>89</v>
      </c>
      <c r="G129" s="1055"/>
      <c r="H129" s="266" t="s">
        <v>90</v>
      </c>
      <c r="I129" s="265"/>
      <c r="J129" s="1030" t="s">
        <v>91</v>
      </c>
      <c r="K129" s="1030"/>
      <c r="L129" s="533"/>
      <c r="M129" s="575" t="s">
        <v>92</v>
      </c>
      <c r="N129" s="252"/>
      <c r="O129" s="160"/>
    </row>
    <row r="130" spans="2:34" ht="25" customHeight="1">
      <c r="B130" s="1032" t="s">
        <v>93</v>
      </c>
      <c r="C130" s="1032"/>
      <c r="D130" s="467" t="s">
        <v>94</v>
      </c>
      <c r="E130" s="29"/>
      <c r="F130" s="1033">
        <f>BAAS_on.demand_EUR</f>
        <v>0.21804999999999999</v>
      </c>
      <c r="G130" s="1034"/>
      <c r="H130" s="307">
        <v>0</v>
      </c>
      <c r="I130" s="272" t="s">
        <v>69</v>
      </c>
      <c r="J130" s="1035" t="s">
        <v>94</v>
      </c>
      <c r="K130" s="1035"/>
      <c r="L130" s="308"/>
      <c r="M130" s="576">
        <f>ROUNDUP(H130*F130,2)</f>
        <v>0</v>
      </c>
      <c r="N130" s="252"/>
      <c r="O130" s="160"/>
    </row>
    <row r="131" spans="2:34" ht="25" customHeight="1">
      <c r="B131" s="1036" t="s">
        <v>95</v>
      </c>
      <c r="C131" s="1036"/>
      <c r="D131" s="468">
        <f>BAAS_small.fee_EUR</f>
        <v>489.5</v>
      </c>
      <c r="E131" s="32"/>
      <c r="F131" s="1037">
        <f>BAAS_small_EUR</f>
        <v>0.15575</v>
      </c>
      <c r="G131" s="1038"/>
      <c r="H131" s="309">
        <v>0</v>
      </c>
      <c r="I131" s="276" t="s">
        <v>69</v>
      </c>
      <c r="J131" s="1039">
        <v>0.75</v>
      </c>
      <c r="K131" s="1040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1" t="s">
        <v>96</v>
      </c>
      <c r="C132" s="1041"/>
      <c r="D132" s="469">
        <f>BAAS_large.fee_EUR</f>
        <v>845.5</v>
      </c>
      <c r="E132" s="35"/>
      <c r="F132" s="1042">
        <f>BAAS_large_EUR</f>
        <v>8.1879999999999994E-2</v>
      </c>
      <c r="G132" s="1043"/>
      <c r="H132" s="298">
        <v>0</v>
      </c>
      <c r="I132" s="299" t="s">
        <v>69</v>
      </c>
      <c r="J132" s="1044">
        <v>0.75</v>
      </c>
      <c r="K132" s="1045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8" t="s">
        <v>97</v>
      </c>
      <c r="C135" s="1048"/>
      <c r="D135" s="1048"/>
      <c r="E135" s="1048"/>
      <c r="F135" s="1048"/>
      <c r="G135" s="1048"/>
      <c r="H135" s="1048"/>
      <c r="I135" s="1048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8" t="s">
        <v>98</v>
      </c>
      <c r="C136" s="1048"/>
      <c r="D136" s="1048"/>
      <c r="E136" s="1048"/>
      <c r="F136" s="1048"/>
      <c r="G136" s="1048"/>
      <c r="H136" s="1048"/>
      <c r="I136" s="1048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8" t="s">
        <v>99</v>
      </c>
      <c r="C137" s="1048"/>
      <c r="D137" s="1048"/>
      <c r="E137" s="1048"/>
      <c r="F137" s="1048"/>
      <c r="G137" s="1048"/>
      <c r="H137" s="1048"/>
      <c r="I137" s="1048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8" t="s">
        <v>405</v>
      </c>
      <c r="C138" s="1048"/>
      <c r="D138" s="1048"/>
      <c r="E138" s="1048"/>
      <c r="F138" s="1048"/>
      <c r="G138" s="1048"/>
      <c r="H138" s="1048"/>
      <c r="I138" s="1048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6" t="s">
        <v>100</v>
      </c>
      <c r="C143" s="1046"/>
      <c r="D143" s="1046"/>
      <c r="E143" s="1046"/>
      <c r="F143" s="1046"/>
      <c r="G143" s="1046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6"/>
      <c r="C144" s="1046"/>
      <c r="D144" s="1046"/>
      <c r="E144" s="1046"/>
      <c r="F144" s="1046"/>
      <c r="G144" s="1046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6"/>
      <c r="C145" s="1046"/>
      <c r="D145" s="1046"/>
      <c r="E145" s="1046"/>
      <c r="F145" s="1046"/>
      <c r="G145" s="1046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7" t="s">
        <v>6</v>
      </c>
      <c r="C146" s="1047"/>
      <c r="D146" s="1047"/>
      <c r="E146" s="1047"/>
      <c r="F146" s="1047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1"/>
      <c r="C147" s="1031"/>
      <c r="D147" s="1031"/>
      <c r="E147" s="1031"/>
      <c r="F147" s="1031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6" t="s">
        <v>14</v>
      </c>
      <c r="M150" s="101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6">
        <f>NET_publicv4_EUR</f>
        <v>2.2250000000000001</v>
      </c>
      <c r="M151" s="1026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7">
        <f>NET_publicv6_EUR</f>
        <v>0</v>
      </c>
      <c r="M152" s="1027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8">
        <f>NET_ingress_EUR</f>
        <v>0</v>
      </c>
      <c r="M153" s="1028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7">
        <f>NET_egress_EUR</f>
        <v>0</v>
      </c>
      <c r="M154" s="1027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6" t="str">
        <f>NET_mgn.slb_EUR</f>
        <v>Request a quote</v>
      </c>
      <c r="M155" s="1006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7">
        <f>NET_rdns_EUR</f>
        <v>0</v>
      </c>
      <c r="M156" s="1027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6">
        <f>NET_byoip_EUR</f>
        <v>0</v>
      </c>
      <c r="M157" s="1006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5"/>
      <c r="M158" s="102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1"/>
      <c r="M159" s="101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6" t="s">
        <v>14</v>
      </c>
      <c r="M160" s="101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6">
        <f>SW_win.ser.201X_EUR</f>
        <v>15.574999999999999</v>
      </c>
      <c r="M161" s="1026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5">
        <f>SW_win.ser.201X_EUR</f>
        <v>15.574999999999999</v>
      </c>
      <c r="M162" s="1005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404</v>
      </c>
      <c r="F163" s="316"/>
      <c r="G163" s="317"/>
      <c r="H163" s="317"/>
      <c r="I163" s="317"/>
      <c r="J163" s="317"/>
      <c r="K163" s="318" t="s">
        <v>10</v>
      </c>
      <c r="L163" s="1006">
        <f>SW_ms.sql.ser_EUR</f>
        <v>109.381</v>
      </c>
      <c r="M163" s="1006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4" t="str">
        <f>SW_stackn_EUR</f>
        <v>Request a quote</v>
      </c>
      <c r="M164" s="1024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0" t="str">
        <f>SW_nextcloud_EUR</f>
        <v>Request a quote</v>
      </c>
      <c r="M165" s="1020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4" t="str">
        <f>SW_suse_EUR</f>
        <v>Request a quote</v>
      </c>
      <c r="M166" s="1024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0" t="str">
        <f>SW_cluster.control_EUR</f>
        <v>3x instance price</v>
      </c>
      <c r="M167" s="1020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1">
        <f>SW_backup.ninja_EUR</f>
        <v>35.6</v>
      </c>
      <c r="M168" s="1021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22"/>
      <c r="M170" s="1022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1"/>
      <c r="M171" s="101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6" t="s">
        <v>14</v>
      </c>
      <c r="M172" s="1016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7" t="str">
        <f>PAAS_man.kubernetes24_EUR</f>
        <v>Request a quote</v>
      </c>
      <c r="M173" s="1017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8" t="str">
        <f>PAAS_man.kubernetes8_EUR</f>
        <v>Request a quote</v>
      </c>
      <c r="M174" s="101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9" t="str">
        <f>PAAS_man.elasticsearch_EUR</f>
        <v>Request a quote</v>
      </c>
      <c r="M175" s="101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8" t="str">
        <f>PAAS_man.redis_EUR</f>
        <v>Request a quote</v>
      </c>
      <c r="M176" s="101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9" t="str">
        <f>PAAS_man.nats_EUR</f>
        <v>Request a quote</v>
      </c>
      <c r="M177" s="101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3" t="str">
        <f>PAAS_man.mariadb_EUR</f>
        <v>Request a quote</v>
      </c>
      <c r="M178" s="102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4"/>
      <c r="M180" s="1014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5"/>
      <c r="M181" s="1015"/>
      <c r="N181" s="189"/>
      <c r="O181" s="205"/>
      <c r="P181" s="180"/>
      <c r="Q181" s="180"/>
    </row>
    <row r="182" spans="2:19" s="169" customFormat="1" ht="25" customHeight="1">
      <c r="B182" s="1046" t="s">
        <v>151</v>
      </c>
      <c r="C182" s="1046"/>
      <c r="D182" s="1046"/>
      <c r="E182" s="1046"/>
      <c r="F182" s="1046"/>
      <c r="G182" s="1046"/>
      <c r="H182" s="335"/>
      <c r="J182" s="178"/>
      <c r="L182" s="1064"/>
      <c r="M182" s="1064"/>
      <c r="N182" s="189"/>
      <c r="O182" s="205"/>
    </row>
    <row r="183" spans="2:19" s="169" customFormat="1" ht="25" customHeight="1">
      <c r="B183" s="1046"/>
      <c r="C183" s="1046"/>
      <c r="D183" s="1046"/>
      <c r="E183" s="1046"/>
      <c r="F183" s="1046"/>
      <c r="G183" s="1046"/>
      <c r="H183" s="335"/>
      <c r="J183" s="178"/>
      <c r="L183" s="1064"/>
      <c r="M183" s="1064"/>
      <c r="N183" s="189"/>
      <c r="O183" s="205"/>
    </row>
    <row r="184" spans="2:19" s="169" customFormat="1" ht="25" customHeight="1">
      <c r="B184" s="1046"/>
      <c r="C184" s="1046"/>
      <c r="D184" s="1046"/>
      <c r="E184" s="1046"/>
      <c r="F184" s="1046"/>
      <c r="G184" s="1046"/>
      <c r="H184" s="335"/>
      <c r="J184" s="178"/>
      <c r="L184" s="1064"/>
      <c r="M184" s="1064"/>
      <c r="N184" s="189"/>
      <c r="O184" s="205"/>
    </row>
    <row r="185" spans="2:19" s="169" customFormat="1" ht="25" customHeight="1">
      <c r="B185" s="1047" t="s">
        <v>6</v>
      </c>
      <c r="C185" s="1047"/>
      <c r="D185" s="1047"/>
      <c r="E185" s="1047"/>
      <c r="F185" s="1047"/>
      <c r="H185" s="335"/>
      <c r="J185" s="178"/>
      <c r="L185" s="1064"/>
      <c r="M185" s="1064"/>
      <c r="N185" s="189"/>
      <c r="O185" s="205"/>
    </row>
    <row r="186" spans="2:19" s="169" customFormat="1" ht="25" customHeight="1">
      <c r="B186" s="1031"/>
      <c r="C186" s="1031"/>
      <c r="D186" s="1031"/>
      <c r="E186" s="1031"/>
      <c r="F186" s="1031"/>
      <c r="G186" s="182"/>
      <c r="H186" s="183"/>
      <c r="I186" s="182"/>
      <c r="J186" s="184"/>
      <c r="K186" s="182"/>
      <c r="L186" s="1065"/>
      <c r="M186" s="106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5"/>
      <c r="M187" s="106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6"/>
      <c r="M188" s="106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6" t="s">
        <v>14</v>
      </c>
      <c r="M189" s="101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7">
        <v>0</v>
      </c>
      <c r="M190" s="106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7" t="s">
        <v>158</v>
      </c>
      <c r="M191" s="100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8" t="s">
        <v>162</v>
      </c>
      <c r="M192" s="100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1"/>
      <c r="M195" s="101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6" t="s">
        <v>14</v>
      </c>
      <c r="M196" s="101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6">
        <f>PS_consult.jun_EUR</f>
        <v>100.303</v>
      </c>
      <c r="M197" s="1026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5">
        <f>PS_consult.sen_EUR</f>
        <v>122.28599999999999</v>
      </c>
      <c r="M198" s="1005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6">
        <f>PS_cloudarch.jun_EUR</f>
        <v>113.65299999999999</v>
      </c>
      <c r="M199" s="1006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5">
        <f>PS_cloudarch.sen_EUR</f>
        <v>122.28599999999999</v>
      </c>
      <c r="M200" s="1005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6">
        <f>PS_pm.jun_EUR</f>
        <v>101.371</v>
      </c>
      <c r="M201" s="1006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1">
        <f>PS_pm.sen_EUR</f>
        <v>122.28599999999999</v>
      </c>
      <c r="M202" s="1021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1"/>
      <c r="M205" s="101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6" t="s">
        <v>179</v>
      </c>
      <c r="M206" s="101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7" t="s">
        <v>162</v>
      </c>
      <c r="M207" s="106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8" t="s">
        <v>162</v>
      </c>
      <c r="M208" s="106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9" t="s">
        <v>162</v>
      </c>
      <c r="M209" s="106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70" t="s">
        <v>162</v>
      </c>
      <c r="M210" s="107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1" t="s">
        <v>191</v>
      </c>
      <c r="C217" s="1061"/>
      <c r="D217" s="1061"/>
      <c r="E217" s="1061"/>
      <c r="F217" s="1061"/>
      <c r="G217" s="1061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1"/>
      <c r="C218" s="1061"/>
      <c r="D218" s="1061"/>
      <c r="E218" s="1061"/>
      <c r="F218" s="1061"/>
      <c r="G218" s="1061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1"/>
      <c r="C219" s="1061"/>
      <c r="D219" s="1061"/>
      <c r="E219" s="1061"/>
      <c r="F219" s="1061"/>
      <c r="G219" s="1061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2" t="s">
        <v>6</v>
      </c>
      <c r="C220" s="1062"/>
      <c r="D220" s="1062"/>
      <c r="E220" s="1062"/>
      <c r="F220" s="1062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3" t="str">
        <f>SUM(E67)&amp;" GB NVME-Disk"</f>
        <v>0 GB NVME-Disk</v>
      </c>
      <c r="G227" s="1063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425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426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6" t="str">
        <f>"1 SEK = "&amp;NOK&amp;" NOK"</f>
        <v>1 SEK = 1 NOK</v>
      </c>
      <c r="E11" s="1056"/>
      <c r="F11" s="105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3" t="s">
        <v>261</v>
      </c>
      <c r="C19" s="1053"/>
      <c r="D19" s="1053"/>
      <c r="E19" s="1053"/>
      <c r="F19" s="1053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5" t="s">
        <v>272</v>
      </c>
      <c r="G88" s="1055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1">
        <f>VOLUME_large_SEK</f>
        <v>1.2</v>
      </c>
      <c r="G89" s="1071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3">
        <f>VOLUME_fast_SEK</f>
        <v>3.6</v>
      </c>
      <c r="G90" s="1073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179"/>
      <c r="O95" s="168"/>
    </row>
    <row r="96" spans="2:23" s="169" customFormat="1" ht="25.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179"/>
      <c r="O96" s="168"/>
    </row>
    <row r="97" spans="2:23" s="169" customFormat="1" ht="25.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179"/>
      <c r="O97" s="168"/>
    </row>
    <row r="98" spans="2:23" s="169" customFormat="1" ht="25.5" customHeight="1">
      <c r="B98" s="1074" t="s">
        <v>274</v>
      </c>
      <c r="C98" s="1074"/>
      <c r="D98" s="1074"/>
      <c r="E98" s="1074"/>
      <c r="F98" s="107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3" t="s">
        <v>275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5" t="s">
        <v>278</v>
      </c>
      <c r="E102" s="1055"/>
      <c r="F102" s="1055"/>
      <c r="G102" s="1055"/>
      <c r="H102" s="1055"/>
      <c r="I102" s="1055"/>
      <c r="J102" s="1055"/>
      <c r="K102" s="1055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2">
        <f>S3_storage.50_SEK</f>
        <v>350</v>
      </c>
      <c r="E103" s="1072"/>
      <c r="F103" s="1072"/>
      <c r="G103" s="1072"/>
      <c r="H103" s="1072"/>
      <c r="I103" s="1072"/>
      <c r="J103" s="1072"/>
      <c r="K103" s="1072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6">
        <f>S3_storage.100_SEK</f>
        <v>270</v>
      </c>
      <c r="E104" s="1076"/>
      <c r="F104" s="1076"/>
      <c r="G104" s="1076"/>
      <c r="H104" s="1076"/>
      <c r="I104" s="1076"/>
      <c r="J104" s="1076"/>
      <c r="K104" s="1076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5">
        <f>S3_storage.500_SEK</f>
        <v>200</v>
      </c>
      <c r="E105" s="1075"/>
      <c r="F105" s="1075"/>
      <c r="G105" s="1075"/>
      <c r="H105" s="1075"/>
      <c r="I105" s="1075"/>
      <c r="J105" s="1075"/>
      <c r="K105" s="1075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6">
        <f>S3_storage.1000_SEK</f>
        <v>185</v>
      </c>
      <c r="E106" s="1076"/>
      <c r="F106" s="1076"/>
      <c r="G106" s="1076"/>
      <c r="H106" s="1076"/>
      <c r="I106" s="1076"/>
      <c r="J106" s="1076"/>
      <c r="K106" s="1076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7" t="str">
        <f>S3_storage.quote_SEK</f>
        <v>Be om offert</v>
      </c>
      <c r="E107" s="1077"/>
      <c r="F107" s="1077"/>
      <c r="G107" s="1077"/>
      <c r="H107" s="1077"/>
      <c r="I107" s="1077"/>
      <c r="J107" s="1077"/>
      <c r="K107" s="1077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6" t="s">
        <v>86</v>
      </c>
      <c r="C116" s="1046"/>
      <c r="D116" s="1046"/>
      <c r="E116" s="1046"/>
      <c r="F116" s="1046"/>
      <c r="G116" s="1046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6"/>
      <c r="C117" s="1046"/>
      <c r="D117" s="1046"/>
      <c r="E117" s="1046"/>
      <c r="F117" s="1046"/>
      <c r="G117" s="1046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6"/>
      <c r="C118" s="1046"/>
      <c r="D118" s="1046"/>
      <c r="E118" s="1046"/>
      <c r="F118" s="1046"/>
      <c r="G118" s="1046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4" t="s">
        <v>279</v>
      </c>
      <c r="C119" s="1074"/>
      <c r="D119" s="1074"/>
      <c r="E119" s="1074"/>
      <c r="F119" s="107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3" t="s">
        <v>280</v>
      </c>
      <c r="C120" s="1053"/>
      <c r="D120" s="1053"/>
      <c r="E120" s="1053"/>
      <c r="F120" s="1053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5" t="s">
        <v>281</v>
      </c>
      <c r="D123" s="1055"/>
      <c r="E123" s="131" t="s">
        <v>263</v>
      </c>
      <c r="F123" s="1055" t="s">
        <v>272</v>
      </c>
      <c r="G123" s="1055"/>
      <c r="H123" s="266" t="s">
        <v>90</v>
      </c>
      <c r="I123" s="265"/>
      <c r="J123" s="1030" t="s">
        <v>282</v>
      </c>
      <c r="K123" s="1030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8">
        <f>BAAS_on.demand_SEK</f>
        <v>2.4500000000000002</v>
      </c>
      <c r="G124" s="1079"/>
      <c r="H124" s="307"/>
      <c r="I124" s="472" t="s">
        <v>69</v>
      </c>
      <c r="J124" s="1035" t="s">
        <v>94</v>
      </c>
      <c r="K124" s="1035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80">
        <f>BAAS_small_SEK</f>
        <v>1.75</v>
      </c>
      <c r="G125" s="1081"/>
      <c r="H125" s="309"/>
      <c r="I125" s="473" t="s">
        <v>69</v>
      </c>
      <c r="J125" s="1039">
        <v>0.75</v>
      </c>
      <c r="K125" s="104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2">
        <f>BAAS_large_SEK</f>
        <v>0.92</v>
      </c>
      <c r="G126" s="1083"/>
      <c r="H126" s="298"/>
      <c r="I126" s="474" t="s">
        <v>69</v>
      </c>
      <c r="J126" s="1044">
        <v>0.75</v>
      </c>
      <c r="K126" s="104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6" t="s">
        <v>287</v>
      </c>
      <c r="C137" s="1046"/>
      <c r="D137" s="1046"/>
      <c r="E137" s="1046"/>
      <c r="F137" s="1046"/>
      <c r="G137" s="1046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6"/>
      <c r="C138" s="1046"/>
      <c r="D138" s="1046"/>
      <c r="E138" s="1046"/>
      <c r="F138" s="1046"/>
      <c r="G138" s="1046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6"/>
      <c r="C139" s="1046"/>
      <c r="D139" s="1046"/>
      <c r="E139" s="1046"/>
      <c r="F139" s="1046"/>
      <c r="G139" s="1046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3" t="s">
        <v>280</v>
      </c>
      <c r="C140" s="1053"/>
      <c r="D140" s="1053"/>
      <c r="E140" s="1053"/>
      <c r="F140" s="1053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1"/>
      <c r="C141" s="1031"/>
      <c r="D141" s="1031"/>
      <c r="E141" s="1031"/>
      <c r="F141" s="1031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6" t="s">
        <v>295</v>
      </c>
      <c r="C176" s="1046"/>
      <c r="D176" s="1046"/>
      <c r="E176" s="1046"/>
      <c r="F176" s="1046"/>
      <c r="G176" s="1046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6"/>
      <c r="C177" s="1046"/>
      <c r="D177" s="1046"/>
      <c r="E177" s="1046"/>
      <c r="F177" s="1046"/>
      <c r="G177" s="1046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6"/>
      <c r="C178" s="1046"/>
      <c r="D178" s="1046"/>
      <c r="E178" s="1046"/>
      <c r="F178" s="1046"/>
      <c r="G178" s="1046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3" t="s">
        <v>280</v>
      </c>
      <c r="C179" s="1053"/>
      <c r="D179" s="1053"/>
      <c r="E179" s="1053"/>
      <c r="F179" s="1053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1"/>
      <c r="C180" s="1031"/>
      <c r="D180" s="1031"/>
      <c r="E180" s="1031"/>
      <c r="F180" s="1031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1" t="s">
        <v>308</v>
      </c>
      <c r="C211" s="1061"/>
      <c r="D211" s="1061"/>
      <c r="E211" s="1061"/>
      <c r="F211" s="1061"/>
      <c r="G211" s="106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1"/>
      <c r="C212" s="1061"/>
      <c r="D212" s="1061"/>
      <c r="E212" s="1061"/>
      <c r="F212" s="1061"/>
      <c r="G212" s="106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1"/>
      <c r="C213" s="1061"/>
      <c r="D213" s="1061"/>
      <c r="E213" s="1061"/>
      <c r="F213" s="1061"/>
      <c r="G213" s="106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4" t="s">
        <v>309</v>
      </c>
      <c r="C214" s="1084"/>
      <c r="D214" s="1084"/>
      <c r="E214" s="1084"/>
      <c r="F214" s="108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427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5" t="str">
        <f>SUM(E67)&amp;" GB NVME-Disk"</f>
        <v>0 GB NVME-Disk</v>
      </c>
      <c r="G221" s="108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1" t="s">
        <v>205</v>
      </c>
      <c r="C19" s="1031"/>
      <c r="D19" s="1031"/>
      <c r="E19" s="1031"/>
      <c r="F19" s="1031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5" t="s">
        <v>221</v>
      </c>
      <c r="G98" s="1055"/>
      <c r="H98" s="1030"/>
      <c r="I98" s="1030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1">
        <f>VOLUME_large_SEK</f>
        <v>1.2</v>
      </c>
      <c r="G99" s="1071"/>
      <c r="H99" s="1098"/>
      <c r="I99" s="1098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3">
        <f>VOLUME_fast_SEK</f>
        <v>3.6</v>
      </c>
      <c r="G100" s="1073"/>
      <c r="H100" s="1099"/>
      <c r="I100" s="109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6" t="s">
        <v>339</v>
      </c>
      <c r="C105" s="1046"/>
      <c r="D105" s="1046"/>
      <c r="E105" s="1046"/>
      <c r="F105" s="1046"/>
      <c r="G105" s="1046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6"/>
      <c r="C106" s="1046"/>
      <c r="D106" s="1046"/>
      <c r="E106" s="1046"/>
      <c r="F106" s="1046"/>
      <c r="G106" s="1046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6"/>
      <c r="C107" s="1046"/>
      <c r="D107" s="1046"/>
      <c r="E107" s="1046"/>
      <c r="F107" s="1046"/>
      <c r="G107" s="1046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2" t="s">
        <v>223</v>
      </c>
      <c r="C108" s="1052"/>
      <c r="D108" s="1052"/>
      <c r="E108" s="1052"/>
      <c r="F108" s="1052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3" t="s">
        <v>340</v>
      </c>
      <c r="C109" s="1053"/>
      <c r="D109" s="1053"/>
      <c r="E109" s="1053"/>
      <c r="F109" s="1053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5" t="s">
        <v>341</v>
      </c>
      <c r="E112" s="1055"/>
      <c r="F112" s="1055"/>
      <c r="G112" s="1055"/>
      <c r="H112" s="1055"/>
      <c r="I112" s="1055"/>
      <c r="J112" s="1055"/>
      <c r="K112" s="1055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5">
        <f>S3_storage.50_SUNET</f>
        <v>0.35</v>
      </c>
      <c r="E113" s="1095"/>
      <c r="F113" s="1072"/>
      <c r="G113" s="1072"/>
      <c r="H113" s="1072"/>
      <c r="I113" s="1072"/>
      <c r="J113" s="1072"/>
      <c r="K113" s="1072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4">
        <f>S3_storage.100_SUNET</f>
        <v>0.19</v>
      </c>
      <c r="E114" s="1094"/>
      <c r="F114" s="1076"/>
      <c r="G114" s="1076"/>
      <c r="H114" s="1076"/>
      <c r="I114" s="1076"/>
      <c r="J114" s="1076"/>
      <c r="K114" s="1076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3">
        <f>S3_storage.500_SUNET</f>
        <v>0.1</v>
      </c>
      <c r="E115" s="1093"/>
      <c r="F115" s="1075"/>
      <c r="G115" s="1075"/>
      <c r="H115" s="1075"/>
      <c r="I115" s="1075"/>
      <c r="J115" s="1075"/>
      <c r="K115" s="1075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4">
        <f>S3_storage.1000_SUNET</f>
        <v>0.06</v>
      </c>
      <c r="E116" s="1094"/>
      <c r="F116" s="1076"/>
      <c r="G116" s="1076"/>
      <c r="H116" s="1076"/>
      <c r="I116" s="1076"/>
      <c r="J116" s="1076"/>
      <c r="K116" s="1076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0" t="str">
        <f>S3_storage.quote_SUNET</f>
        <v>Be om offert</v>
      </c>
      <c r="E117" s="1090"/>
      <c r="F117" s="1077"/>
      <c r="G117" s="1077"/>
      <c r="H117" s="1077"/>
      <c r="I117" s="1077"/>
      <c r="J117" s="1077"/>
      <c r="K117" s="1077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5" t="s">
        <v>221</v>
      </c>
      <c r="G120" s="1055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1" cm="1">
        <f t="array" ref="F121">_xlfn.IFS(H121&lt;=299,D113,H121&lt;1000,D114,H121&lt;2000,D115,H121&gt;=2000,D116)</f>
        <v>0.35</v>
      </c>
      <c r="G121" s="1092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6">
        <f>ROUNDUP((H121*1000)*F121,2)</f>
        <v>0</v>
      </c>
      <c r="N121" s="1096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7">
        <f>SUM(M121)</f>
        <v>0</v>
      </c>
      <c r="N122" s="1097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6" t="s">
        <v>86</v>
      </c>
      <c r="C126" s="1046"/>
      <c r="D126" s="1046"/>
      <c r="E126" s="1046"/>
      <c r="F126" s="1046"/>
      <c r="G126" s="1046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6"/>
      <c r="C127" s="1046"/>
      <c r="D127" s="1046"/>
      <c r="E127" s="1046"/>
      <c r="F127" s="1046"/>
      <c r="G127" s="1046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6"/>
      <c r="C128" s="1046"/>
      <c r="D128" s="1046"/>
      <c r="E128" s="1046"/>
      <c r="F128" s="1046"/>
      <c r="G128" s="1046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60" t="s">
        <v>87</v>
      </c>
      <c r="C129" s="1060"/>
      <c r="D129" s="1060"/>
      <c r="E129" s="1060"/>
      <c r="F129" s="1060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1" t="s">
        <v>226</v>
      </c>
      <c r="C130" s="1031"/>
      <c r="D130" s="1031"/>
      <c r="E130" s="1031"/>
      <c r="F130" s="1031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5" t="s">
        <v>228</v>
      </c>
      <c r="D133" s="1055"/>
      <c r="E133" s="131" t="s">
        <v>210</v>
      </c>
      <c r="F133" s="1055" t="s">
        <v>221</v>
      </c>
      <c r="G133" s="1055"/>
      <c r="H133" s="266" t="s">
        <v>90</v>
      </c>
      <c r="I133" s="265"/>
      <c r="J133" s="1030" t="s">
        <v>229</v>
      </c>
      <c r="K133" s="1030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8">
        <f>BAAS_on.demand_SEK</f>
        <v>2.4500000000000002</v>
      </c>
      <c r="G134" s="1079"/>
      <c r="H134" s="307">
        <v>0</v>
      </c>
      <c r="I134" s="472" t="s">
        <v>69</v>
      </c>
      <c r="J134" s="1035" t="s">
        <v>94</v>
      </c>
      <c r="K134" s="103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80">
        <f>BAAS_small_SEK</f>
        <v>1.75</v>
      </c>
      <c r="G135" s="1081"/>
      <c r="H135" s="309">
        <v>0</v>
      </c>
      <c r="I135" s="473" t="s">
        <v>69</v>
      </c>
      <c r="J135" s="1039">
        <v>0.75</v>
      </c>
      <c r="K135" s="104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2">
        <f>BAAS_large_SEK</f>
        <v>0.92</v>
      </c>
      <c r="G136" s="1083"/>
      <c r="H136" s="298">
        <v>0</v>
      </c>
      <c r="I136" s="474" t="s">
        <v>69</v>
      </c>
      <c r="J136" s="1044">
        <v>0.75</v>
      </c>
      <c r="K136" s="104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1" t="s">
        <v>255</v>
      </c>
      <c r="C150" s="1061"/>
      <c r="D150" s="1061"/>
      <c r="E150" s="1061"/>
      <c r="F150" s="1061"/>
      <c r="G150" s="106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1"/>
      <c r="C151" s="1061"/>
      <c r="D151" s="1061"/>
      <c r="E151" s="1061"/>
      <c r="F151" s="1061"/>
      <c r="G151" s="106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1"/>
      <c r="C152" s="1061"/>
      <c r="D152" s="1061"/>
      <c r="E152" s="1061"/>
      <c r="F152" s="1061"/>
      <c r="G152" s="106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4" t="s">
        <v>226</v>
      </c>
      <c r="C153" s="1084"/>
      <c r="D153" s="1084"/>
      <c r="E153" s="1084"/>
      <c r="F153" s="108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7" t="s">
        <v>196</v>
      </c>
      <c r="C160" s="1087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8" t="s">
        <v>197</v>
      </c>
      <c r="C161" s="1088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9" t="s">
        <v>199</v>
      </c>
      <c r="C163" s="1089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6">
        <f>SUM(M160:M163)</f>
        <v>0</v>
      </c>
      <c r="K164" s="1086"/>
      <c r="L164" s="1086"/>
      <c r="M164" s="1086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678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5" t="s">
        <v>725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679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680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681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682</v>
      </c>
      <c r="E25" s="131" t="s">
        <v>604</v>
      </c>
      <c r="F25" s="131" t="s">
        <v>263</v>
      </c>
      <c r="G25" s="131" t="s">
        <v>683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695</v>
      </c>
      <c r="C44" s="974"/>
      <c r="D44" s="974"/>
      <c r="K44" s="934"/>
      <c r="M44" s="664"/>
    </row>
    <row r="45" spans="2:18" ht="25" customHeight="1">
      <c r="B45" s="628" t="s">
        <v>730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682</v>
      </c>
      <c r="E46" s="131" t="s">
        <v>604</v>
      </c>
      <c r="F46" s="131" t="s">
        <v>263</v>
      </c>
      <c r="G46" s="131" t="s">
        <v>683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696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697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683</v>
      </c>
      <c r="H80" s="24"/>
      <c r="I80" s="728" t="s">
        <v>726</v>
      </c>
      <c r="J80" s="24"/>
      <c r="K80" s="939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680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681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684</v>
      </c>
      <c r="H94" s="24"/>
      <c r="I94" s="728" t="s">
        <v>727</v>
      </c>
      <c r="J94" s="131"/>
      <c r="K94" s="939" t="s">
        <v>485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698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680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681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685</v>
      </c>
      <c r="H117" s="24"/>
      <c r="I117" s="728" t="s">
        <v>726</v>
      </c>
      <c r="J117" s="728" t="s">
        <v>686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699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680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700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687</v>
      </c>
      <c r="K146" s="939" t="s">
        <v>688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690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689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689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701</v>
      </c>
      <c r="F151" s="37"/>
      <c r="G151" s="37"/>
      <c r="H151" s="37"/>
      <c r="I151" s="37"/>
      <c r="J151" s="770" t="s">
        <v>691</v>
      </c>
      <c r="K151" s="953" t="s">
        <v>692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702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703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687</v>
      </c>
      <c r="K159" s="939" t="s">
        <v>688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">
        <v>692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">
        <v>692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570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733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688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692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692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704</v>
      </c>
      <c r="F173" s="30"/>
      <c r="G173" s="30"/>
      <c r="H173" s="30"/>
      <c r="I173" s="30"/>
      <c r="J173" s="40"/>
      <c r="K173" s="940" t="s">
        <v>692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941" t="s">
        <v>692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692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">
        <v>692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">
        <v>692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295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705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465" t="s">
        <v>680</v>
      </c>
      <c r="C186" s="503"/>
      <c r="D186" s="503"/>
      <c r="E186" s="503"/>
      <c r="F186" s="50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706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24"/>
      <c r="F190" s="24"/>
      <c r="G190" s="24"/>
      <c r="H190" s="24"/>
      <c r="I190" s="23" t="s">
        <v>687</v>
      </c>
      <c r="J190" s="23"/>
      <c r="K190" s="939" t="s">
        <v>688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660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707</v>
      </c>
      <c r="E192" s="31"/>
      <c r="F192" s="771"/>
      <c r="G192" s="779"/>
      <c r="H192" s="779"/>
      <c r="I192" s="773" t="s">
        <v>709</v>
      </c>
      <c r="J192" s="773"/>
      <c r="K192" s="941" t="s">
        <v>710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708</v>
      </c>
      <c r="E193" s="129"/>
      <c r="F193" s="129"/>
      <c r="G193" s="129"/>
      <c r="H193" s="40"/>
      <c r="I193" s="770" t="s">
        <v>297</v>
      </c>
      <c r="J193" s="770"/>
      <c r="K193" s="940" t="s">
        <v>692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299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711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24"/>
      <c r="F198" s="24"/>
      <c r="G198" s="24"/>
      <c r="H198" s="24"/>
      <c r="I198" s="23" t="s">
        <v>687</v>
      </c>
      <c r="J198" s="23"/>
      <c r="K198" s="939" t="s">
        <v>688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297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297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297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297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297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297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712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713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131" t="s">
        <v>693</v>
      </c>
      <c r="H209" s="23"/>
      <c r="I209" s="23" t="s">
        <v>687</v>
      </c>
      <c r="J209" s="23"/>
      <c r="K209" s="939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714</v>
      </c>
      <c r="E210" s="40"/>
      <c r="F210" s="30"/>
      <c r="G210" s="40" t="s">
        <v>251</v>
      </c>
      <c r="H210" s="770"/>
      <c r="I210" s="770" t="s">
        <v>718</v>
      </c>
      <c r="J210" s="770"/>
      <c r="K210" s="940" t="s">
        <v>692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715</v>
      </c>
      <c r="E211" s="31"/>
      <c r="F211" s="771"/>
      <c r="G211" s="779" t="s">
        <v>251</v>
      </c>
      <c r="H211" s="773"/>
      <c r="I211" s="773" t="s">
        <v>718</v>
      </c>
      <c r="J211" s="773"/>
      <c r="K211" s="941" t="s">
        <v>692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716</v>
      </c>
      <c r="E212" s="40"/>
      <c r="F212" s="30"/>
      <c r="G212" s="40" t="s">
        <v>717</v>
      </c>
      <c r="H212" s="770"/>
      <c r="I212" s="770" t="s">
        <v>718</v>
      </c>
      <c r="J212" s="770"/>
      <c r="K212" s="940" t="s">
        <v>692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307</v>
      </c>
      <c r="E213" s="31"/>
      <c r="F213" s="771"/>
      <c r="G213" s="779" t="s">
        <v>717</v>
      </c>
      <c r="H213" s="773"/>
      <c r="I213" s="773" t="s">
        <v>718</v>
      </c>
      <c r="J213" s="773"/>
      <c r="K213" s="941" t="s">
        <v>692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694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883" t="s">
        <v>680</v>
      </c>
      <c r="C223" s="135"/>
      <c r="D223" s="135"/>
      <c r="E223" s="135"/>
      <c r="F223" s="135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719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678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694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720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721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722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724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723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3jd4s7Xz7kFzovYGjgQ0hlIDsZoW+Id7WXFIm8qsfXYjOK9rJzz+lJ3P/jj8DJ5SHA9ToPPuLUfmdvTe5jzYlA==" saltValue="RDOsEv747jYCtQedpL0IBw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220:G222"/>
    <mergeCell ref="C134:D134"/>
    <mergeCell ref="E134:F134"/>
    <mergeCell ref="B139:G141"/>
    <mergeCell ref="B182:G184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9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581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497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503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499</v>
      </c>
      <c r="F25" s="131" t="s">
        <v>13</v>
      </c>
      <c r="G25" s="131" t="s">
        <v>500</v>
      </c>
      <c r="H25" s="686"/>
      <c r="I25" s="687" t="s">
        <v>501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934"/>
      <c r="M44" s="664"/>
    </row>
    <row r="45" spans="2:18" ht="25" customHeight="1">
      <c r="B45" s="628" t="s">
        <v>731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499</v>
      </c>
      <c r="F46" s="131" t="s">
        <v>13</v>
      </c>
      <c r="G46" s="131" t="s">
        <v>500</v>
      </c>
      <c r="H46" s="686"/>
      <c r="I46" s="687" t="s">
        <v>501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502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498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500</v>
      </c>
      <c r="H80" s="24"/>
      <c r="I80" s="728" t="s">
        <v>506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503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504</v>
      </c>
      <c r="H94" s="24"/>
      <c r="I94" s="728" t="s">
        <v>505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487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503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507</v>
      </c>
      <c r="F117" s="769"/>
      <c r="G117" s="131" t="s">
        <v>508</v>
      </c>
      <c r="H117" s="24"/>
      <c r="I117" s="728" t="s">
        <v>506</v>
      </c>
      <c r="J117" s="728" t="s">
        <v>509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976"/>
      <c r="J133" s="978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977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100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520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521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522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523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524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525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521</v>
      </c>
      <c r="K159" s="939" t="s">
        <v>14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526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673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599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tr">
        <f>PAAS_man.mariadb_EUR</f>
        <v>Request a quote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tr">
        <f>PAAS_man.redis_EUR</f>
        <v>Request a quote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527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528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983" t="s">
        <v>529</v>
      </c>
      <c r="C186" s="983"/>
      <c r="D186" s="983"/>
      <c r="E186" s="983"/>
      <c r="F186" s="98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530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521</v>
      </c>
      <c r="J190" s="23"/>
      <c r="K190" s="939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531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674</v>
      </c>
      <c r="E192" s="31"/>
      <c r="F192" s="771"/>
      <c r="G192" s="779"/>
      <c r="H192" s="779"/>
      <c r="I192" s="773" t="s">
        <v>157</v>
      </c>
      <c r="J192" s="773"/>
      <c r="K192" s="941" t="s">
        <v>675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0" t="s">
        <v>380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533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534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521</v>
      </c>
      <c r="J198" s="23"/>
      <c r="K198" s="939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535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536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521</v>
      </c>
      <c r="J209" s="23"/>
      <c r="K209" s="939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0" t="s">
        <v>532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537</v>
      </c>
      <c r="E211" s="31"/>
      <c r="F211" s="771"/>
      <c r="G211" s="779" t="s">
        <v>181</v>
      </c>
      <c r="H211" s="773"/>
      <c r="I211" s="906" t="s">
        <v>183</v>
      </c>
      <c r="J211" s="773"/>
      <c r="K211" s="941" t="s">
        <v>532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538</v>
      </c>
      <c r="E212" s="40"/>
      <c r="F212" s="30"/>
      <c r="G212" s="40" t="s">
        <v>187</v>
      </c>
      <c r="H212" s="770"/>
      <c r="I212" s="905" t="s">
        <v>183</v>
      </c>
      <c r="J212" s="770"/>
      <c r="K212" s="940" t="s">
        <v>532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539</v>
      </c>
      <c r="E213" s="31"/>
      <c r="F213" s="771"/>
      <c r="G213" s="779" t="s">
        <v>187</v>
      </c>
      <c r="H213" s="773"/>
      <c r="I213" s="906" t="s">
        <v>183</v>
      </c>
      <c r="J213" s="773"/>
      <c r="K213" s="941" t="s">
        <v>532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540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980" t="s">
        <v>529</v>
      </c>
      <c r="C223" s="980"/>
      <c r="D223" s="980"/>
      <c r="E223" s="980"/>
      <c r="F223" s="980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541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542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543</v>
      </c>
      <c r="C229" s="56"/>
      <c r="D229" s="57"/>
      <c r="E229" s="56"/>
      <c r="F229" s="659"/>
      <c r="G229" s="659"/>
      <c r="H229" s="659"/>
      <c r="I229" s="56"/>
      <c r="J229" s="659" t="s">
        <v>540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510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511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512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676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677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U35PR7fcIE82/Qd+QRLJITa4lhdy59rQ2DOFvNmjL24rsdLMYpFGMxlrrDweHaTkAK9yu4jKQjcVVAjS3eebkA==" saltValue="+VTOp8uZuguUzSBzyTwmq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20:G222"/>
    <mergeCell ref="B223:F223"/>
    <mergeCell ref="C134:D134"/>
    <mergeCell ref="E134:F134"/>
    <mergeCell ref="B139:G141"/>
    <mergeCell ref="B182:G184"/>
    <mergeCell ref="B185:F185"/>
    <mergeCell ref="B186:F186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7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411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412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413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414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415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637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595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595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422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2024-05-02T08:18:37Z</cp:lastPrinted>
  <dcterms:created xsi:type="dcterms:W3CDTF">2015-05-31T16:02:08Z</dcterms:created>
  <dcterms:modified xsi:type="dcterms:W3CDTF">2024-05-02T08:18:47Z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