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A2FCC410-1CDB-804E-BD75-A2F5CC04F659}" xr6:coauthVersionLast="47" xr6:coauthVersionMax="47" xr10:uidLastSave="{00000000-0000-0000-0000-000000000000}"/>
  <workbookProtection workbookAlgorithmName="SHA-512" workbookHashValue="KW8a6lFOQxsR1IGeb/iJbcHVH9WgUFsWlEOnoU9ONEQ5mrxcNzmPi+E+xXS+Gj+CkC8iqxcU9UfBM9ergn9jIQ==" workbookSaltValue="vvuxc9v6a/Km7w8AlIBt5w==" workbookSpinCount="100000" lockStructure="1"/>
  <bookViews>
    <workbookView xWindow="4800" yWindow="760" windowWidth="28800" windowHeight="17500" tabRatio="530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2023'!$C$45:$C$54</definedName>
    <definedName name="b2_list_Antal_instanser" localSheetId="3">'NOK - Safespring tjenester 2023'!$C$45:$C$54</definedName>
    <definedName name="b2_list_Antal_instanser">'SEK - Safesprings tjänster 2023'!$C$45:$C$54</definedName>
    <definedName name="b2_list_ram" localSheetId="1">'EUR - Safespring services 2023'!$D$45:$D$54</definedName>
    <definedName name="b2_list_ram" localSheetId="3">'NOK - Safespring tjenester 2023'!$D$45:$D$54</definedName>
    <definedName name="b2_list_ram">'SEK - Safesprings tjänster 2023'!$D$45:$D$54</definedName>
    <definedName name="b2_list_vCPU" localSheetId="1">'EUR - Safespring services 2023'!$I$45:$I$54</definedName>
    <definedName name="b2_list_vCPU" localSheetId="3">'NOK - Safespring tjenester 2023'!$I$45:$I$54</definedName>
    <definedName name="b2_list_vCPU">'SEK - Safesprings tjänster 2023'!$I$45:$I$54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2023'!$A$1:$L$242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2" l="1"/>
  <c r="K162" i="11"/>
  <c r="K163" i="11"/>
  <c r="K164" i="11"/>
  <c r="K162" i="3"/>
  <c r="K163" i="3"/>
  <c r="K164" i="3"/>
  <c r="C231" i="12" l="1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1" i="3"/>
  <c r="K133" i="12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31" i="11" s="1"/>
  <c r="K133" i="11" s="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K165" i="3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2" i="12" l="1"/>
  <c r="K161" i="3"/>
  <c r="K161" i="12"/>
  <c r="K160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L84" i="10" l="1"/>
  <c r="F80" i="1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4" i="12" s="1"/>
  <c r="K82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<sst xmlns="http://schemas.openxmlformats.org/spreadsheetml/2006/main" count="2182" uniqueCount="676">
  <si>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</si>
  <si>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</si>
  <si>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</si>
  <si>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</si>
  <si>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</si>
  <si>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</si>
  <si>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</si>
  <si>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</si>
  <si>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</si>
  <si>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</si>
  <si>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</si>
  <si>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</si>
  <si>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</si>
  <si>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</si>
  <si>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</si>
  <si>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</si>
  <si>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</si>
  <si>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</si>
  <si>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</si>
  <si>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</si>
  <si>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</si>
  <si>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</si>
  <si>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</si>
  <si>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</si>
  <si>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</si>
  <si>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</si>
  <si>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</si>
  <si>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</si>
  <si>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</si>
  <si>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</si>
  <si>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</si>
  <si>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</si>
  <si>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</si>
  <si>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</si>
  <si>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</si>
  <si>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</si>
  <si>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</si>
  <si>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</si>
  <si>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</si>
  <si>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</si>
  <si>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</si>
  <si>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</si>
  <si>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</si>
  <si>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</si>
  <si>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</si>
  <si>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</si>
  <si>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</si>
  <si>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</si>
  <si>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</si>
  <si>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</si>
  <si>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</si>
  <si>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</si>
  <si>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</si>
  <si>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</si>
  <si>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</si>
  <si>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</si>
  <si>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</si>
  <si>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</si>
  <si>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</si>
  <si>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</si>
  <si>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</si>
  <si>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</si>
  <si>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</si>
  <si>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</si>
  <si>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</si>
  <si>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</si>
  <si>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</si>
  <si>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</si>
  <si>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</si>
  <si>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</si>
  <si>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</si>
  <si>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</si>
  <si>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</si>
  <si>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</si>
  <si>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</si>
  <si>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</si>
  <si>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</si>
  <si>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</si>
  <si>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</si>
  <si>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</si>
  <si>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</si>
  <si>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</si>
  <si>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</si>
  <si>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</si>
  <si>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</si>
  <si>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</si>
  <si>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</si>
  <si>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</si>
  <si>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</si>
  <si>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</si>
  <si>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</si>
  <si>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</si>
  <si>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</si>
  <si>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</si>
  <si>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</si>
  <si>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</si>
  <si>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</si>
  <si>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</si>
  <si>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</si>
  <si>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</si>
  <si>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</si>
  <si>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</si>
  <si>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</si>
  <si>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</si>
  <si>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</si>
  <si>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</si>
  <si>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</si>
  <si>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</si>
  <si>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</si>
  <si>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</si>
  <si>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</si>
  <si>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</si>
  <si>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</si>
  <si>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</si>
  <si>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</si>
  <si>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</si>
  <si>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</si>
  <si>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</si>
  <si>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</si>
  <si>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</si>
  <si>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</si>
  <si>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</si>
  <si>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</si>
  <si>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</si>
  <si>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</si>
  <si>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</si>
  <si>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</si>
  <si>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</si>
  <si>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</si>
  <si>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</si>
  <si>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</si>
  <si>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</si>
  <si>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</si>
  <si>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</si>
  <si>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</si>
  <si>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</si>
  <si>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</si>
  <si>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</si>
  <si>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</si>
  <si>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</si>
  <si>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</si>
  <si>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</si>
  <si>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</si>
  <si>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</si>
  <si>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</si>
  <si>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</si>
  <si>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</si>
  <si>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</si>
  <si>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</si>
  <si>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</si>
  <si>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</si>
  <si>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</si>
  <si>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</si>
  <si>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</si>
  <si>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</si>
  <si>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</si>
  <si>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</si>
  <si>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</si>
  <si>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</si>
  <si>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</si>
  <si>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</si>
  <si>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</si>
  <si>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</si>
  <si>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</si>
  <si>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</si>
  <si>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</si>
  <si>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</si>
  <si>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</si>
  <si>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</si>
  <si>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</si>
  <si>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</si>
  <si>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</si>
  <si>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</si>
  <si>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</si>
  <si>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</si>
  <si>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</si>
  <si>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</si>
  <si>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</si>
  <si>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</si>
  <si>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</si>
  <si>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</si>
  <si>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</si>
  <si>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</si>
  <si>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</si>
  <si>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</si>
  <si>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</si>
  <si>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</si>
  <si>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</si>
  <si>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</si>
  <si>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</si>
  <si>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</si>
  <si>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</si>
  <si>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</si>
  <si>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</si>
  <si>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</si>
  <si>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</si>
  <si>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</si>
  <si>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</si>
  <si>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</si>
  <si>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</si>
  <si>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</si>
  <si>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</si>
  <si>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</si>
  <si>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</si>
  <si>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</si>
  <si>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</si>
  <si>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</si>
  <si>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</si>
  <si>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</si>
  <si>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</si>
  <si>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</si>
  <si>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</si>
  <si>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</si>
  <si>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</si>
  <si>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</si>
  <si>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</si>
  <si>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</si>
  <si>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</si>
  <si>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</si>
  <si>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</si>
  <si>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</si>
  <si>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</si>
  <si>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</si>
  <si>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</si>
  <si>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</si>
  <si>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</si>
  <si>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</si>
  <si>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</si>
  <si>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</si>
  <si>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</si>
  <si>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</si>
  <si>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</si>
  <si>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</si>
  <si>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</si>
  <si>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</si>
  <si>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</si>
  <si>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</si>
  <si>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</si>
  <si>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</si>
  <si>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</si>
  <si>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</si>
  <si>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</si>
  <si>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</si>
  <si>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</si>
  <si>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</si>
  <si>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</si>
  <si>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</si>
  <si>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</si>
  <si>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</si>
  <si>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</si>
  <si>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</si>
  <si>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</si>
  <si>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</si>
  <si>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</si>
  <si>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</si>
  <si>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</si>
  <si>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</si>
  <si>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</si>
  <si>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</si>
  <si>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</si>
  <si>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</si>
  <si>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</si>
  <si>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</si>
  <si>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</si>
  <si>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</si>
  <si>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</si>
  <si>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</si>
  <si>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</si>
  <si>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</si>
  <si>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</si>
  <si>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</si>
  <si>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</si>
  <si>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</si>
  <si>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</si>
  <si>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</si>
  <si>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</si>
  <si>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</si>
  <si>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</si>
  <si>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</si>
  <si>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</si>
  <si>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</si>
  <si>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</si>
  <si>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</si>
  <si>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</si>
  <si>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</si>
  <si>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</si>
  <si>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</si>
  <si>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</si>
  <si>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</si>
  <si>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</si>
  <si>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</si>
  <si>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</si>
  <si>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</si>
  <si>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</si>
  <si>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</si>
  <si>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</si>
  <si>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</si>
  <si>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</si>
  <si>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</si>
  <si>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</si>
  <si>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</si>
  <si>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</si>
  <si>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</si>
  <si>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</si>
  <si>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</si>
  <si>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</si>
  <si>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</si>
  <si>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</si>
  <si>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</si>
  <si>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</si>
  <si>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</si>
  <si>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</si>
  <si>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</si>
  <si>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</si>
  <si>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</si>
  <si>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</si>
  <si>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</si>
  <si>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</si>
  <si>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</si>
  <si>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</si>
  <si>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</si>
  <si>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</si>
  <si>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</si>
  <si>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</si>
  <si>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</si>
  <si>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</si>
  <si>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</si>
  <si>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</si>
  <si>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</si>
  <si>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</si>
  <si>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</si>
  <si>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</si>
  <si>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</si>
  <si>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</si>
  <si>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</si>
  <si>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</si>
  <si>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</si>
  <si>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</si>
  <si>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</si>
  <si>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</si>
  <si>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</si>
  <si>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</si>
  <si>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</si>
  <si>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</si>
  <si>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</si>
  <si>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</si>
  <si>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</si>
  <si>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</si>
  <si>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</si>
  <si>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</si>
  <si>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</si>
  <si>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</si>
  <si>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</si>
  <si>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</si>
  <si>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</si>
  <si>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</si>
  <si>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</si>
  <si>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</si>
  <si>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</si>
  <si>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</si>
  <si>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</si>
  <si>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</si>
  <si>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</si>
  <si>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</si>
  <si>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</si>
  <si>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</si>
  <si>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</si>
  <si>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</si>
  <si>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</si>
  <si>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</si>
  <si>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</si>
  <si>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</si>
  <si>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</si>
  <si>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</si>
  <si>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</si>
  <si>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</si>
  <si>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</si>
  <si>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</si>
  <si>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</si>
  <si>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</si>
  <si>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</si>
  <si>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</si>
  <si>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</si>
  <si>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</si>
  <si>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</si>
  <si>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</si>
  <si>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</si>
  <si>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</si>
  <si>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</si>
  <si>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</si>
  <si>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</si>
  <si>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</si>
  <si>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</si>
  <si>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</si>
  <si>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</si>
  <si>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</si>
  <si>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</si>
  <si>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</si>
  <si>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</si>
  <si>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</si>
  <si>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</si>
  <si>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</si>
  <si>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</si>
  <si>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</si>
  <si>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</si>
  <si>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</si>
  <si>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</si>
  <si>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</si>
  <si>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</si>
  <si>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</si>
  <si>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</si>
  <si>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</si>
  <si>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</si>
  <si>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</si>
  <si>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</si>
  <si>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</si>
  <si>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</si>
  <si>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</si>
  <si>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</si>
  <si>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</si>
  <si>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</si>
  <si>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</si>
  <si>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</si>
  <si>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</si>
  <si>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</si>
  <si>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</si>
  <si>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</si>
  <si>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</si>
  <si>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</si>
  <si>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</si>
  <si>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</si>
  <si>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</si>
  <si>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</si>
  <si>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</si>
  <si>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</si>
  <si>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</si>
  <si>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</si>
  <si>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</si>
  <si>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</si>
  <si>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</si>
  <si>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</si>
  <si>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</si>
  <si>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</si>
  <si>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</si>
  <si>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</si>
  <si>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</si>
  <si>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</si>
  <si>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</si>
  <si>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</si>
  <si>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</si>
  <si>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</si>
  <si>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</si>
  <si>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</si>
  <si>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</si>
  <si>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</si>
  <si>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</si>
  <si>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</si>
  <si>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</si>
  <si>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</si>
  <si>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</si>
  <si>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</si>
  <si>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</si>
  <si>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</si>
  <si>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</si>
  <si>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</si>
  <si>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</si>
  <si>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</si>
  <si>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</si>
  <si>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</si>
  <si>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</si>
  <si>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</si>
  <si>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</si>
  <si>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</si>
  <si>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</si>
  <si>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</si>
  <si>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</si>
  <si>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</si>
  <si>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</si>
  <si>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</si>
  <si>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</si>
  <si>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</si>
  <si>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</si>
  <si>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</si>
  <si>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</si>
  <si>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</si>
  <si>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</si>
  <si>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</si>
  <si>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</si>
  <si>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</si>
  <si>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</si>
  <si>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</si>
  <si>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</si>
  <si>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</si>
  <si>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</si>
  <si>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</si>
  <si>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</si>
  <si>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</si>
  <si>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</si>
  <si>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</si>
  <si>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</si>
  <si>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</si>
  <si>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</si>
  <si>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</si>
  <si>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</si>
  <si>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</si>
  <si>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</si>
  <si>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</si>
  <si>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</si>
  <si>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</si>
  <si>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</si>
  <si>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</si>
  <si>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</si>
  <si>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</si>
  <si>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</si>
  <si>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</si>
  <si>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</si>
  <si>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</si>
  <si>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</si>
  <si>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</si>
  <si>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</si>
  <si>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</si>
  <si>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</si>
  <si>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</si>
  <si>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</si>
  <si>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</si>
  <si>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</si>
  <si>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</si>
  <si>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</si>
  <si>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</si>
  <si>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</si>
  <si>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</si>
  <si>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</si>
  <si>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</si>
  <si>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</si>
  <si>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</si>
  <si>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</si>
  <si>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</si>
  <si>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</si>
  <si>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</si>
  <si>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</si>
  <si>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</si>
  <si>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</si>
  <si>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</si>
  <si>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</si>
  <si>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</si>
  <si>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</si>
  <si>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</si>
  <si>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</si>
  <si>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</si>
  <si>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</si>
  <si>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</si>
  <si>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</si>
  <si>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</si>
  <si>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</si>
  <si>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</si>
  <si>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</si>
  <si>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</si>
  <si>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</si>
  <si>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</si>
  <si>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</si>
  <si>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</si>
  <si>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</si>
  <si>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</si>
  <si>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</si>
  <si>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</si>
  <si>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</si>
  <si>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</si>
  <si>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</si>
  <si>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</si>
  <si>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</si>
  <si>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</si>
  <si>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</si>
  <si>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</si>
  <si>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</si>
  <si>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</si>
  <si>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</si>
  <si>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</si>
  <si>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</si>
  <si>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</si>
  <si>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</si>
  <si>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</si>
  <si>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</si>
  <si>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</si>
  <si>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</si>
  <si>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</si>
  <si>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</si>
  <si>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</si>
  <si>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</si>
  <si>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</si>
  <si>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</si>
  <si>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</si>
  <si>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</si>
  <si>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</si>
  <si>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</si>
  <si>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</si>
  <si>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</si>
  <si>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</si>
  <si>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</si>
  <si>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</si>
  <si>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</si>
  <si>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</si>
  <si>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</si>
  <si>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</si>
  <si>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</si>
  <si>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</si>
  <si>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</si>
  <si>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</si>
  <si>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</si>
  <si>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</si>
  <si>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</si>
  <si>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</si>
  <si>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</si>
  <si>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</si>
  <si>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</si>
  <si>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</si>
  <si>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</si>
  <si>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</si>
  <si>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</si>
  <si>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</si>
  <si>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</si>
  <si>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</si>
  <si>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</si>
  <si>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</si>
  <si>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</si>
  <si>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</si>
  <si>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</si>
  <si>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</si>
  <si>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</si>
  <si>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</si>
  <si>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</si>
  <si>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</si>
  <si>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</si>
  <si>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</si>
  <si>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</si>
  <si>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</si>
  <si>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</si>
  <si>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</si>
  <si>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</si>
  <si>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</si>
  <si>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</si>
  <si>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</si>
  <si>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</si>
  <si>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</si>
  <si>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</si>
  <si>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</si>
  <si>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</si>
  <si>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</si>
  <si>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</si>
  <si>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</si>
  <si>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</si>
  <si>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</si>
  <si>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</si>
  <si>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</si>
  <si>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</si>
  <si>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</si>
  <si>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</si>
  <si>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</si>
  <si>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</si>
  <si>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</si>
  <si>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</si>
  <si>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</si>
  <si>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</si>
  <si>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</si>
  <si>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</si>
  <si>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</si>
  <si>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</si>
  <si>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</si>
  <si>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</si>
  <si>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</si>
  <si>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</si>
  <si>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</si>
  <si>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</si>
  <si>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</si>
  <si>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Priskalkylator 2023-01-03</t>
  </si>
  <si>
    <t>Price calculator 2023-01-03</t>
  </si>
  <si>
    <t>Priskalkulator 03.01.2023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</si>
</sst>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62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127</xdr:row>
      <xdr:rowOff>0</xdr:rowOff>
    </xdr:from>
    <xdr:to>
      <xdr:col>1</xdr:col>
      <xdr:colOff>1892300</xdr:colOff>
      <xdr:row>128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673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657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407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956" t="s">
        <v>408</v>
      </c>
      <c r="C19" s="956"/>
      <c r="D19" s="956"/>
      <c r="E19" s="956"/>
      <c r="F19" s="956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79"/>
      <c r="H20" s="680"/>
      <c r="I20" s="679"/>
      <c r="J20" s="681"/>
      <c r="K20" s="836"/>
      <c r="L20" s="682"/>
      <c r="M20" s="666"/>
      <c r="S20" s="677"/>
      <c r="T20" s="677"/>
      <c r="U20" s="677"/>
      <c r="V20" s="677"/>
      <c r="W20" s="683"/>
      <c r="X20" s="8"/>
      <c r="Y20" s="677"/>
      <c r="Z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538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57" t="s">
        <v>650</v>
      </c>
      <c r="C24" s="957"/>
      <c r="D24" s="957"/>
      <c r="E24" s="957"/>
      <c r="M24" s="666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88"/>
      <c r="I25" s="689" t="s">
        <v>212</v>
      </c>
      <c r="J25" s="688"/>
      <c r="K25" s="839" t="s">
        <v>215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691">
        <f t="shared" ref="F26:F37" si="0">G26/720</f>
        <v>0.66666666666666663</v>
      </c>
      <c r="G26" s="692">
        <f t="shared" ref="G26:G37" si="1">C26*IAAS_vcpu_SEK+D26*IAAS_ram_SEK+E26*IAAS_nvme_SEK</f>
        <v>480</v>
      </c>
      <c r="H26" s="44"/>
      <c r="I26" s="693"/>
      <c r="J26" s="44"/>
      <c r="K26" s="840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694">
        <f t="shared" si="0"/>
        <v>1.2222222222222223</v>
      </c>
      <c r="G27" s="695">
        <f t="shared" si="1"/>
        <v>880</v>
      </c>
      <c r="H27" s="46"/>
      <c r="I27" s="693"/>
      <c r="J27" s="46"/>
      <c r="K27" s="841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691">
        <f t="shared" si="0"/>
        <v>1.9166666666666667</v>
      </c>
      <c r="G28" s="692">
        <f t="shared" si="1"/>
        <v>1380</v>
      </c>
      <c r="H28" s="44"/>
      <c r="I28" s="693"/>
      <c r="J28" s="44"/>
      <c r="K28" s="840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694">
        <f t="shared" si="0"/>
        <v>1.1944444444444444</v>
      </c>
      <c r="G29" s="695">
        <f t="shared" si="1"/>
        <v>860</v>
      </c>
      <c r="H29" s="46"/>
      <c r="I29" s="693"/>
      <c r="J29" s="46"/>
      <c r="K29" s="841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691">
        <f t="shared" si="0"/>
        <v>1.75</v>
      </c>
      <c r="G30" s="692">
        <f t="shared" si="1"/>
        <v>1260</v>
      </c>
      <c r="H30" s="44"/>
      <c r="I30" s="693"/>
      <c r="J30" s="44"/>
      <c r="K30" s="840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694">
        <f t="shared" si="0"/>
        <v>2.4444444444444446</v>
      </c>
      <c r="G31" s="695">
        <f t="shared" si="1"/>
        <v>1760</v>
      </c>
      <c r="H31" s="46"/>
      <c r="I31" s="693"/>
      <c r="J31" s="46"/>
      <c r="K31" s="841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691">
        <f t="shared" si="0"/>
        <v>2.25</v>
      </c>
      <c r="G32" s="692">
        <f t="shared" si="1"/>
        <v>1620</v>
      </c>
      <c r="H32" s="44"/>
      <c r="I32" s="693"/>
      <c r="J32" s="44"/>
      <c r="K32" s="840">
        <f t="shared" si="2"/>
        <v>0</v>
      </c>
      <c r="M32" s="666"/>
      <c r="P32" s="683"/>
      <c r="R32" s="683"/>
    </row>
    <row r="33" spans="2:19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694">
        <f t="shared" si="0"/>
        <v>2.8055555555555554</v>
      </c>
      <c r="G33" s="695">
        <f t="shared" si="1"/>
        <v>2020</v>
      </c>
      <c r="H33" s="46"/>
      <c r="I33" s="693"/>
      <c r="J33" s="46"/>
      <c r="K33" s="841">
        <f t="shared" si="2"/>
        <v>0</v>
      </c>
      <c r="M33" s="666"/>
      <c r="P33" s="683"/>
      <c r="R33" s="683"/>
    </row>
    <row r="34" spans="2:19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691">
        <f t="shared" si="0"/>
        <v>3.5</v>
      </c>
      <c r="G34" s="692">
        <f t="shared" si="1"/>
        <v>2520</v>
      </c>
      <c r="H34" s="44"/>
      <c r="I34" s="693"/>
      <c r="J34" s="44"/>
      <c r="K34" s="840">
        <f t="shared" si="2"/>
        <v>0</v>
      </c>
      <c r="M34" s="666"/>
      <c r="P34" s="683"/>
      <c r="R34" s="683"/>
    </row>
    <row r="35" spans="2:19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694">
        <f t="shared" si="0"/>
        <v>4.3611111111111107</v>
      </c>
      <c r="G35" s="695">
        <f t="shared" si="1"/>
        <v>3140</v>
      </c>
      <c r="H35" s="46"/>
      <c r="I35" s="693"/>
      <c r="J35" s="46"/>
      <c r="K35" s="841">
        <f t="shared" si="2"/>
        <v>0</v>
      </c>
      <c r="M35" s="666"/>
      <c r="P35" s="683"/>
      <c r="R35" s="683"/>
    </row>
    <row r="36" spans="2:19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691">
        <f t="shared" si="0"/>
        <v>4.916666666666667</v>
      </c>
      <c r="G36" s="692">
        <f t="shared" si="1"/>
        <v>3540</v>
      </c>
      <c r="H36" s="44"/>
      <c r="I36" s="693"/>
      <c r="J36" s="44"/>
      <c r="K36" s="840">
        <f t="shared" si="2"/>
        <v>0</v>
      </c>
      <c r="M36" s="666"/>
      <c r="P36" s="683"/>
      <c r="R36" s="683"/>
    </row>
    <row r="37" spans="2:19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694">
        <f t="shared" si="0"/>
        <v>5.6111111111111107</v>
      </c>
      <c r="G37" s="695">
        <f t="shared" si="1"/>
        <v>4040</v>
      </c>
      <c r="H37" s="46"/>
      <c r="I37" s="693"/>
      <c r="J37" s="46"/>
      <c r="K37" s="841">
        <f t="shared" si="2"/>
        <v>0</v>
      </c>
      <c r="M37" s="666"/>
      <c r="P37" s="683"/>
      <c r="R37" s="683"/>
    </row>
    <row r="38" spans="2:19" s="875" customFormat="1" ht="25" customHeight="1">
      <c r="B38" s="871" t="s">
        <v>222</v>
      </c>
      <c r="C38" s="872" t="str" cm="1">
        <f t="array" ref="C38">SUM(C26:C37*I26:I37)&amp;" st"</f>
        <v>0 st</v>
      </c>
      <c r="D38" s="872" t="str" cm="1">
        <f t="array" ref="D38">SUM(D26:D37*I26:I37)&amp;" GB"</f>
        <v>0 GB</v>
      </c>
      <c r="E38" s="873" t="str" cm="1">
        <f t="array" ref="E38">SUM(E26:E37*I26:I37)&amp;" GB"</f>
        <v>0 GB</v>
      </c>
      <c r="F38" s="872"/>
      <c r="G38" s="872"/>
      <c r="H38" s="872"/>
      <c r="I38" s="872" t="str">
        <f>SUM(I26:I37)&amp;" st"</f>
        <v>0 st</v>
      </c>
      <c r="J38" s="872"/>
      <c r="K38" s="874">
        <f>SUM(K26:K37)</f>
        <v>0</v>
      </c>
      <c r="M38" s="666"/>
      <c r="P38" s="876"/>
      <c r="R38" s="876"/>
    </row>
    <row r="39" spans="2:19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9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9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9" s="653" customFormat="1" ht="25" customHeight="1">
      <c r="B42" s="654" t="s">
        <v>449</v>
      </c>
      <c r="C42" s="652"/>
      <c r="D42" s="652"/>
      <c r="K42" s="844"/>
      <c r="M42" s="666"/>
    </row>
    <row r="43" spans="2:19" ht="25" customHeight="1">
      <c r="B43" s="957" t="s">
        <v>650</v>
      </c>
      <c r="C43" s="957"/>
      <c r="D43" s="957"/>
      <c r="E43" s="957"/>
      <c r="M43" s="666"/>
    </row>
    <row r="44" spans="2:19" s="70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07"/>
      <c r="I44" s="689" t="s">
        <v>212</v>
      </c>
      <c r="J44" s="688"/>
      <c r="K44" s="839" t="s">
        <v>215</v>
      </c>
      <c r="M44" s="666"/>
      <c r="O44" s="13"/>
      <c r="P44" s="709"/>
      <c r="Q44" s="709"/>
      <c r="R44" s="709"/>
      <c r="S44" s="13"/>
    </row>
    <row r="45" spans="2:19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691">
        <f t="shared" ref="F45:F54" si="3">G45/720</f>
        <v>0.2638888888888889</v>
      </c>
      <c r="G45" s="692">
        <f t="shared" ref="G45:G54" si="4">C45*IAAS_vcpu_SEK+D45*IAAS_ram_SEK+E45*IAAS_ssd_SEK</f>
        <v>190</v>
      </c>
      <c r="H45" s="44"/>
      <c r="I45" s="693"/>
      <c r="J45" s="44"/>
      <c r="K45" s="840">
        <f t="shared" ref="K45:K54" si="5">ROUNDUP(I45*G45,2)</f>
        <v>0</v>
      </c>
      <c r="M45" s="666"/>
      <c r="N45" s="710"/>
      <c r="O45" s="711"/>
    </row>
    <row r="46" spans="2:19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694">
        <f t="shared" si="3"/>
        <v>0.41666666666666669</v>
      </c>
      <c r="G46" s="695">
        <f t="shared" si="4"/>
        <v>300</v>
      </c>
      <c r="H46" s="46"/>
      <c r="I46" s="693"/>
      <c r="J46" s="46"/>
      <c r="K46" s="841">
        <f t="shared" si="5"/>
        <v>0</v>
      </c>
      <c r="L46" s="712"/>
      <c r="M46" s="666"/>
      <c r="N46" s="710"/>
      <c r="O46" s="711"/>
    </row>
    <row r="47" spans="2:19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691">
        <f t="shared" si="3"/>
        <v>0.52777777777777779</v>
      </c>
      <c r="G47" s="692">
        <f t="shared" si="4"/>
        <v>380</v>
      </c>
      <c r="H47" s="44"/>
      <c r="I47" s="693"/>
      <c r="J47" s="44"/>
      <c r="K47" s="840">
        <f t="shared" si="5"/>
        <v>0</v>
      </c>
      <c r="L47" s="712"/>
      <c r="M47" s="666"/>
      <c r="N47" s="710"/>
      <c r="O47" s="711"/>
    </row>
    <row r="48" spans="2:19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694">
        <f t="shared" si="3"/>
        <v>0.83333333333333337</v>
      </c>
      <c r="G48" s="695">
        <f t="shared" si="4"/>
        <v>600</v>
      </c>
      <c r="H48" s="46"/>
      <c r="I48" s="693"/>
      <c r="J48" s="46"/>
      <c r="K48" s="841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691">
        <f t="shared" si="3"/>
        <v>1.0555555555555556</v>
      </c>
      <c r="G49" s="692">
        <f t="shared" si="4"/>
        <v>760</v>
      </c>
      <c r="H49" s="44"/>
      <c r="I49" s="693"/>
      <c r="J49" s="44"/>
      <c r="K49" s="840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694">
        <f t="shared" si="3"/>
        <v>1.6666666666666667</v>
      </c>
      <c r="G50" s="695">
        <f t="shared" si="4"/>
        <v>1200</v>
      </c>
      <c r="H50" s="46"/>
      <c r="I50" s="693"/>
      <c r="J50" s="46"/>
      <c r="K50" s="841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691">
        <f t="shared" si="3"/>
        <v>2.1111111111111112</v>
      </c>
      <c r="G51" s="692">
        <f t="shared" si="4"/>
        <v>1520</v>
      </c>
      <c r="H51" s="44"/>
      <c r="I51" s="693"/>
      <c r="J51" s="44"/>
      <c r="K51" s="840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694">
        <f t="shared" si="3"/>
        <v>3.3333333333333335</v>
      </c>
      <c r="G52" s="695">
        <f t="shared" si="4"/>
        <v>2400</v>
      </c>
      <c r="H52" s="46"/>
      <c r="I52" s="693"/>
      <c r="J52" s="46"/>
      <c r="K52" s="841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691">
        <f t="shared" si="3"/>
        <v>4.2222222222222223</v>
      </c>
      <c r="G53" s="692">
        <f t="shared" si="4"/>
        <v>3040</v>
      </c>
      <c r="H53" s="44"/>
      <c r="I53" s="693"/>
      <c r="J53" s="44"/>
      <c r="K53" s="840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694">
        <f t="shared" si="3"/>
        <v>6.666666666666667</v>
      </c>
      <c r="G54" s="695">
        <f t="shared" si="4"/>
        <v>4800</v>
      </c>
      <c r="H54" s="46"/>
      <c r="I54" s="693"/>
      <c r="J54" s="46"/>
      <c r="K54" s="841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222</v>
      </c>
      <c r="C55" s="872" t="str" cm="1">
        <f t="array" ref="C55">SUM(b2_list_vCPU*b2_list_Antal_instanser)&amp;" st"</f>
        <v>0 st</v>
      </c>
      <c r="D55" s="872" t="str" cm="1">
        <f t="array" ref="D55">SUM(b2_list_ram*b2_list_vCPU)&amp;" GB"</f>
        <v>0 GB</v>
      </c>
      <c r="E55" s="877" t="s">
        <v>94</v>
      </c>
      <c r="F55" s="872"/>
      <c r="G55" s="872"/>
      <c r="H55" s="872"/>
      <c r="I55" s="872" t="str">
        <f>SUM(I45:I54)&amp;" st"</f>
        <v>0 st</v>
      </c>
      <c r="J55" s="872"/>
      <c r="K55" s="874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651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1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ref="G62:G63" si="7">H62/720</f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7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651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8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8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8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546</v>
      </c>
      <c r="M77" s="666"/>
    </row>
    <row r="78" spans="2:20" s="731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0" t="s">
        <v>66</v>
      </c>
      <c r="J78" s="24"/>
      <c r="K78" s="614" t="s">
        <v>533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80">
        <f>G79/720</f>
        <v>1.6666666666666666E-3</v>
      </c>
      <c r="G79" s="725">
        <f>VOLUME_large_SEK</f>
        <v>1.2</v>
      </c>
      <c r="H79" s="734"/>
      <c r="I79" s="735"/>
      <c r="J79" s="399"/>
      <c r="K79" s="830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81">
        <f>G80/720</f>
        <v>5.0000000000000001E-3</v>
      </c>
      <c r="G80" s="727">
        <f>VOLUME_fast_SEK</f>
        <v>3.6</v>
      </c>
      <c r="H80" s="737"/>
      <c r="I80" s="739"/>
      <c r="J80" s="740"/>
      <c r="K80" s="831">
        <f>ROUNDUP(I80*G80,2)</f>
        <v>0</v>
      </c>
      <c r="L80" s="8"/>
      <c r="M80" s="666"/>
      <c r="T80" s="683"/>
    </row>
    <row r="81" spans="2:20" s="677" customFormat="1" ht="25" customHeight="1">
      <c r="B81" s="134" t="s">
        <v>492</v>
      </c>
      <c r="C81" s="39" t="s">
        <v>434</v>
      </c>
      <c r="D81" s="78"/>
      <c r="E81" s="78"/>
      <c r="F81" s="80">
        <f>G81/720</f>
        <v>1.6666666666666666E-3</v>
      </c>
      <c r="G81" s="725">
        <f>VOLUME_large_SEK</f>
        <v>1.2</v>
      </c>
      <c r="H81" s="741"/>
      <c r="I81" s="735"/>
      <c r="J81" s="399"/>
      <c r="K81" s="830">
        <f>ROUNDUP(I81*G81,2)</f>
        <v>0</v>
      </c>
      <c r="L81" s="8"/>
      <c r="M81" s="666"/>
    </row>
    <row r="82" spans="2:20" s="875" customFormat="1" ht="25" customHeight="1">
      <c r="B82" s="871" t="s">
        <v>222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74">
        <f>SUM(K79:K81)</f>
        <v>0</v>
      </c>
      <c r="M82" s="666"/>
      <c r="P82" s="876"/>
      <c r="R82" s="876"/>
    </row>
    <row r="83" spans="2:20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0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0" s="4" customFormat="1" ht="25" customHeight="1">
      <c r="B85" s="940" t="s">
        <v>658</v>
      </c>
      <c r="C85" s="940"/>
      <c r="D85" s="940"/>
      <c r="E85" s="940"/>
      <c r="F85" s="940"/>
      <c r="G85" s="940"/>
      <c r="H85" s="940"/>
      <c r="I85" s="940"/>
      <c r="J85" s="940"/>
      <c r="K85" s="940"/>
      <c r="M85" s="666"/>
    </row>
    <row r="86" spans="2:20" s="4" customFormat="1" ht="25" customHeight="1">
      <c r="B86" s="940"/>
      <c r="C86" s="940"/>
      <c r="D86" s="940"/>
      <c r="E86" s="940"/>
      <c r="F86" s="940"/>
      <c r="G86" s="940"/>
      <c r="H86" s="940"/>
      <c r="I86" s="940"/>
      <c r="J86" s="940"/>
      <c r="K86" s="940"/>
      <c r="M86" s="666"/>
    </row>
    <row r="87" spans="2:20" s="4" customFormat="1" ht="25" customHeight="1">
      <c r="B87" s="940"/>
      <c r="C87" s="940"/>
      <c r="D87" s="940"/>
      <c r="E87" s="940"/>
      <c r="F87" s="940"/>
      <c r="G87" s="940"/>
      <c r="H87" s="940"/>
      <c r="I87" s="940"/>
      <c r="J87" s="940"/>
      <c r="K87" s="940"/>
      <c r="M87" s="666"/>
    </row>
    <row r="88" spans="2:20" s="4" customFormat="1" ht="25" customHeight="1">
      <c r="B88" s="551" t="s">
        <v>547</v>
      </c>
      <c r="C88" s="551"/>
      <c r="D88" s="551"/>
      <c r="E88" s="551"/>
      <c r="F88" s="551"/>
      <c r="H88" s="674"/>
      <c r="J88" s="676"/>
      <c r="K88" s="835"/>
      <c r="M88" s="666"/>
    </row>
    <row r="89" spans="2:20" s="505" customFormat="1" ht="25" customHeight="1">
      <c r="B89" s="465" t="s">
        <v>540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79"/>
      <c r="H90" s="680"/>
      <c r="I90" s="679"/>
      <c r="J90" s="681"/>
      <c r="K90" s="836"/>
      <c r="L90" s="748"/>
      <c r="M90" s="666"/>
      <c r="O90" s="677"/>
      <c r="P90" s="677"/>
    </row>
    <row r="91" spans="2:20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539</v>
      </c>
      <c r="H92" s="24"/>
      <c r="I92" s="730" t="s">
        <v>224</v>
      </c>
      <c r="J92" s="131"/>
      <c r="K92" s="614" t="s">
        <v>83</v>
      </c>
      <c r="L92" s="682"/>
      <c r="M92" s="666"/>
      <c r="N92" s="677"/>
    </row>
    <row r="93" spans="2:20" s="754" customFormat="1" ht="25" customHeight="1">
      <c r="B93" s="445" t="s">
        <v>534</v>
      </c>
      <c r="C93" s="930" t="s">
        <v>655</v>
      </c>
      <c r="D93" s="930"/>
      <c r="E93" s="524"/>
      <c r="F93" s="750"/>
      <c r="G93" s="749">
        <f>S3_archive.50_SEK</f>
        <v>350</v>
      </c>
      <c r="H93" s="750"/>
      <c r="I93" s="751"/>
      <c r="J93" s="752"/>
      <c r="K93" s="631">
        <f>I93*G93</f>
        <v>0</v>
      </c>
      <c r="L93" s="753"/>
      <c r="M93" s="666"/>
      <c r="N93" s="723"/>
    </row>
    <row r="94" spans="2:20" s="677" customFormat="1" ht="25" customHeight="1">
      <c r="B94" s="137" t="s">
        <v>493</v>
      </c>
      <c r="C94" s="41" t="s">
        <v>656</v>
      </c>
      <c r="D94" s="79"/>
      <c r="E94" s="79"/>
      <c r="F94" s="737"/>
      <c r="G94" s="650">
        <f>S3_storage50_SEK</f>
        <v>500</v>
      </c>
      <c r="H94" s="738"/>
      <c r="I94" s="755"/>
      <c r="J94" s="740"/>
      <c r="K94" s="831">
        <f>I94*G94</f>
        <v>0</v>
      </c>
      <c r="L94" s="8"/>
      <c r="M94" s="666"/>
      <c r="T94" s="683"/>
    </row>
    <row r="95" spans="2:20" s="875" customFormat="1" ht="25" customHeight="1">
      <c r="B95" s="871" t="s">
        <v>222</v>
      </c>
      <c r="C95" s="872"/>
      <c r="D95" s="872"/>
      <c r="E95" s="872"/>
      <c r="F95" s="872"/>
      <c r="G95" s="872"/>
      <c r="H95" s="872"/>
      <c r="I95" s="872"/>
      <c r="J95" s="872"/>
      <c r="K95" s="874">
        <f>SUM(K93:K94)</f>
        <v>0</v>
      </c>
      <c r="M95" s="666"/>
      <c r="P95" s="876"/>
      <c r="R95" s="876"/>
    </row>
    <row r="96" spans="2:20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19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19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19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19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19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19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19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19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19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19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19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19" s="4" customFormat="1" ht="25" customHeight="1">
      <c r="B108" s="940" t="s">
        <v>665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19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19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19" s="4" customFormat="1" ht="25" customHeight="1">
      <c r="B111" s="551" t="s">
        <v>535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79"/>
      <c r="H112" s="680"/>
      <c r="I112" s="679"/>
      <c r="J112" s="681"/>
      <c r="K112" s="836"/>
      <c r="L112" s="748"/>
      <c r="M112" s="666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79"/>
      <c r="H113" s="680"/>
      <c r="I113" s="679"/>
      <c r="J113" s="681"/>
      <c r="K113" s="836"/>
      <c r="L113" s="748"/>
      <c r="M113" s="666"/>
      <c r="O113" s="677"/>
      <c r="P113" s="677"/>
      <c r="Q113" s="677"/>
      <c r="R113" s="677"/>
      <c r="S113" s="677"/>
      <c r="T113" s="677"/>
      <c r="U113" s="677"/>
      <c r="X113" s="1"/>
      <c r="Y113" s="1"/>
      <c r="Z113" s="1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208</v>
      </c>
      <c r="C115" s="771"/>
      <c r="D115" s="771"/>
      <c r="E115" s="24" t="s">
        <v>228</v>
      </c>
      <c r="F115" s="771"/>
      <c r="G115" s="24" t="s">
        <v>617</v>
      </c>
      <c r="H115" s="24"/>
      <c r="I115" s="730" t="s">
        <v>90</v>
      </c>
      <c r="J115" s="730" t="s">
        <v>457</v>
      </c>
      <c r="K115" s="614" t="s">
        <v>92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765">
        <f>BAAS_on.demand_SEK</f>
        <v>2.4500000000000002</v>
      </c>
      <c r="H116" s="399"/>
      <c r="I116" s="751"/>
      <c r="J116" s="879" t="s">
        <v>94</v>
      </c>
      <c r="K116" s="830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31">
        <v>5500</v>
      </c>
      <c r="F117" s="740"/>
      <c r="G117" s="766">
        <f>BAAS_small_SEK</f>
        <v>1.75</v>
      </c>
      <c r="H117" s="740"/>
      <c r="I117" s="767"/>
      <c r="J117" s="768">
        <v>0.75</v>
      </c>
      <c r="K117" s="831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33">
        <v>9500</v>
      </c>
      <c r="F118" s="759"/>
      <c r="G118" s="765">
        <f>BAAS_large_SEK</f>
        <v>0.92</v>
      </c>
      <c r="H118" s="759"/>
      <c r="I118" s="758"/>
      <c r="J118" s="770">
        <v>0.75</v>
      </c>
      <c r="K118" s="596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222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74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hidden="1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659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465" t="s">
        <v>660</v>
      </c>
      <c r="C127" s="505"/>
      <c r="D127" s="505"/>
      <c r="E127" s="505"/>
      <c r="F127" s="505"/>
      <c r="H127" s="680"/>
      <c r="I127" s="679"/>
      <c r="J127" s="681"/>
      <c r="K127" s="836"/>
      <c r="L127" s="748"/>
      <c r="M127" s="666"/>
    </row>
    <row r="128" spans="2:32" s="8" customFormat="1" ht="25" hidden="1" customHeight="1">
      <c r="B128" s="640"/>
      <c r="C128" s="640"/>
      <c r="D128" s="640"/>
      <c r="E128" s="640"/>
      <c r="F128" s="133"/>
      <c r="G128" s="679"/>
      <c r="H128" s="680"/>
      <c r="I128" s="679"/>
      <c r="J128" s="681"/>
      <c r="K128" s="836"/>
      <c r="L128" s="748"/>
      <c r="M128" s="666"/>
      <c r="O128" s="677"/>
      <c r="P128" s="677"/>
      <c r="Q128" s="677"/>
      <c r="R128" s="677"/>
      <c r="S128" s="677"/>
      <c r="T128" s="677"/>
      <c r="U128" s="677"/>
      <c r="X128" s="1"/>
      <c r="Y128" s="1"/>
      <c r="Z128" s="1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208</v>
      </c>
      <c r="C130" s="941" t="s">
        <v>445</v>
      </c>
      <c r="D130" s="941"/>
      <c r="E130" s="941" t="s">
        <v>446</v>
      </c>
      <c r="F130" s="941"/>
      <c r="G130" s="941" t="s">
        <v>228</v>
      </c>
      <c r="H130" s="941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444</v>
      </c>
      <c r="F131" s="949"/>
      <c r="G131" s="943">
        <v>15000</v>
      </c>
      <c r="H131" s="944"/>
      <c r="I131" s="751"/>
      <c r="J131" s="929">
        <v>0</v>
      </c>
      <c r="K131" s="856" t="str">
        <f>IF(J131=1,G131," ")</f>
        <v xml:space="preserve"> </v>
      </c>
      <c r="L131" s="724"/>
      <c r="M131" s="666"/>
    </row>
    <row r="132" spans="2:32" ht="25" hidden="1" customHeight="1">
      <c r="B132" s="137" t="s">
        <v>498</v>
      </c>
      <c r="C132" s="948" t="s">
        <v>443</v>
      </c>
      <c r="D132" s="948"/>
      <c r="E132" s="950" t="s">
        <v>447</v>
      </c>
      <c r="F132" s="950"/>
      <c r="G132" s="945">
        <v>24000</v>
      </c>
      <c r="H132" s="946"/>
      <c r="I132" s="755"/>
      <c r="J132" s="740"/>
      <c r="K132" s="857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222</v>
      </c>
      <c r="C133" s="872"/>
      <c r="D133" s="872"/>
      <c r="E133" s="872"/>
      <c r="F133" s="872"/>
      <c r="G133" s="872"/>
      <c r="H133" s="872"/>
      <c r="I133" s="928"/>
      <c r="J133" s="872"/>
      <c r="K133" s="874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234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4"/>
      <c r="J140" s="676"/>
      <c r="K140" s="835"/>
      <c r="M140" s="666"/>
    </row>
    <row r="141" spans="2:32" s="4" customFormat="1" ht="25" customHeight="1">
      <c r="B141" s="465"/>
      <c r="C141" s="133"/>
      <c r="D141" s="133"/>
      <c r="E141" s="133"/>
      <c r="F141" s="133"/>
      <c r="G141" s="679"/>
      <c r="H141" s="680"/>
      <c r="I141" s="679"/>
      <c r="J141" s="681"/>
      <c r="K141" s="836"/>
      <c r="L141" s="679"/>
      <c r="M141" s="666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79"/>
      <c r="H142" s="679"/>
      <c r="I142" s="679"/>
      <c r="J142" s="681"/>
      <c r="K142" s="836"/>
      <c r="L142" s="679"/>
      <c r="M142" s="666"/>
      <c r="N142" s="677"/>
      <c r="O142" s="677"/>
      <c r="P142" s="677"/>
      <c r="Q142" s="677"/>
      <c r="R142" s="677"/>
      <c r="S142" s="677"/>
    </row>
    <row r="143" spans="2:32" ht="25" customHeight="1">
      <c r="B143" s="630" t="s">
        <v>544</v>
      </c>
      <c r="M143" s="666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66"/>
      <c r="N144" s="744"/>
      <c r="O144" s="8"/>
    </row>
    <row r="145" spans="2:18" ht="25" customHeight="1">
      <c r="B145" s="134" t="s">
        <v>499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2" t="s">
        <v>107</v>
      </c>
      <c r="K145" s="830">
        <f>NET_publicv4_SEK</f>
        <v>25</v>
      </c>
      <c r="M145" s="666"/>
      <c r="N145" s="744"/>
      <c r="O145" s="8"/>
    </row>
    <row r="146" spans="2:18" ht="25" customHeight="1">
      <c r="B146" s="137" t="s">
        <v>500</v>
      </c>
      <c r="C146" s="130" t="s">
        <v>109</v>
      </c>
      <c r="D146" s="130"/>
      <c r="E146" s="41" t="s">
        <v>237</v>
      </c>
      <c r="F146" s="773"/>
      <c r="G146" s="773"/>
      <c r="H146" s="773"/>
      <c r="I146" s="773"/>
      <c r="J146" s="774" t="s">
        <v>94</v>
      </c>
      <c r="K146" s="556">
        <f>NET_publicv6_SEK</f>
        <v>0</v>
      </c>
      <c r="M146" s="666"/>
      <c r="N146" s="744"/>
      <c r="O146" s="8"/>
    </row>
    <row r="147" spans="2:18" ht="25" customHeight="1">
      <c r="B147" s="134" t="s">
        <v>501</v>
      </c>
      <c r="C147" s="129" t="s">
        <v>238</v>
      </c>
      <c r="D147" s="129"/>
      <c r="E147" s="148"/>
      <c r="F147" s="37"/>
      <c r="G147" s="37"/>
      <c r="H147" s="37"/>
      <c r="I147" s="37"/>
      <c r="J147" s="772" t="s">
        <v>69</v>
      </c>
      <c r="K147" s="557">
        <f>NET_ingress_SEK</f>
        <v>0</v>
      </c>
      <c r="M147" s="666"/>
      <c r="N147" s="744"/>
      <c r="O147" s="8"/>
    </row>
    <row r="148" spans="2:18" ht="25" customHeight="1">
      <c r="B148" s="137" t="s">
        <v>502</v>
      </c>
      <c r="C148" s="130" t="s">
        <v>238</v>
      </c>
      <c r="D148" s="130"/>
      <c r="E148" s="41" t="s">
        <v>239</v>
      </c>
      <c r="F148" s="773"/>
      <c r="G148" s="773"/>
      <c r="H148" s="773"/>
      <c r="I148" s="773"/>
      <c r="J148" s="775" t="s">
        <v>69</v>
      </c>
      <c r="K148" s="556">
        <f>NET_egress_SEK</f>
        <v>0.25</v>
      </c>
      <c r="M148" s="666"/>
      <c r="N148" s="744"/>
      <c r="O148" s="8"/>
    </row>
    <row r="149" spans="2:18" ht="25" customHeight="1">
      <c r="B149" s="134" t="s">
        <v>503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72" t="s">
        <v>240</v>
      </c>
      <c r="K149" s="557" t="str">
        <f>NET_mgn.slb_SEK</f>
        <v>Begär offert</v>
      </c>
      <c r="M149" s="666"/>
    </row>
    <row r="150" spans="2:18" ht="25" customHeight="1">
      <c r="B150" s="137" t="s">
        <v>504</v>
      </c>
      <c r="C150" s="130" t="s">
        <v>118</v>
      </c>
      <c r="D150" s="130"/>
      <c r="E150" s="41"/>
      <c r="F150" s="773"/>
      <c r="G150" s="773"/>
      <c r="H150" s="773"/>
      <c r="I150" s="773"/>
      <c r="J150" s="774" t="s">
        <v>94</v>
      </c>
      <c r="K150" s="556">
        <f>NET_rdns_SEK</f>
        <v>0</v>
      </c>
      <c r="M150" s="666"/>
      <c r="N150" s="744"/>
      <c r="O150" s="8"/>
    </row>
    <row r="151" spans="2:18" ht="25" customHeight="1">
      <c r="B151" s="134" t="s">
        <v>505</v>
      </c>
      <c r="C151" s="129" t="s">
        <v>121</v>
      </c>
      <c r="D151" s="129"/>
      <c r="E151" s="30"/>
      <c r="F151" s="37"/>
      <c r="G151" s="37"/>
      <c r="H151" s="37"/>
      <c r="I151" s="37"/>
      <c r="J151" s="777" t="s">
        <v>94</v>
      </c>
      <c r="K151" s="557">
        <v>0</v>
      </c>
      <c r="M151" s="666"/>
      <c r="N151" s="744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58"/>
      <c r="M152" s="666"/>
      <c r="N152" s="744"/>
      <c r="O152" s="8"/>
    </row>
    <row r="153" spans="2:18" ht="25" customHeight="1">
      <c r="C153" s="43"/>
      <c r="J153" s="43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78"/>
      <c r="M155" s="666"/>
      <c r="N155" s="744"/>
      <c r="O155" s="8"/>
    </row>
    <row r="156" spans="2:18" ht="25" customHeight="1">
      <c r="B156" s="630" t="s">
        <v>458</v>
      </c>
      <c r="M156" s="666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66"/>
      <c r="N157" s="744"/>
      <c r="O157" s="8"/>
    </row>
    <row r="158" spans="2:18" ht="25" customHeight="1">
      <c r="B158" s="134" t="s">
        <v>506</v>
      </c>
      <c r="C158" s="129"/>
      <c r="D158" s="30"/>
      <c r="E158" s="30" t="s">
        <v>123</v>
      </c>
      <c r="F158" s="30"/>
      <c r="G158" s="30"/>
      <c r="H158" s="30"/>
      <c r="I158" s="30"/>
      <c r="J158" s="772" t="s">
        <v>10</v>
      </c>
      <c r="K158" s="830">
        <f>SW_win.ser.201X_SEK</f>
        <v>78</v>
      </c>
      <c r="L158" s="742"/>
      <c r="M158" s="666"/>
      <c r="N158" s="744"/>
      <c r="O158" s="8"/>
      <c r="Q158" s="677"/>
      <c r="R158" s="677"/>
    </row>
    <row r="159" spans="2:18" ht="25" customHeight="1">
      <c r="B159" s="137" t="s">
        <v>507</v>
      </c>
      <c r="C159" s="130"/>
      <c r="D159" s="38"/>
      <c r="E159" s="38" t="s">
        <v>125</v>
      </c>
      <c r="F159" s="773"/>
      <c r="G159" s="773"/>
      <c r="H159" s="773"/>
      <c r="I159" s="773"/>
      <c r="J159" s="775" t="s">
        <v>10</v>
      </c>
      <c r="K159" s="831">
        <f>SW_win.ser.201X_SEK</f>
        <v>78</v>
      </c>
      <c r="L159" s="742"/>
      <c r="M159" s="666"/>
      <c r="N159" s="744"/>
      <c r="O159" s="8"/>
      <c r="Q159" s="677"/>
      <c r="R159" s="677"/>
    </row>
    <row r="160" spans="2:18" ht="25" customHeight="1">
      <c r="B160" s="134" t="s">
        <v>663</v>
      </c>
      <c r="C160" s="129"/>
      <c r="D160" s="30"/>
      <c r="E160" s="30" t="s">
        <v>664</v>
      </c>
      <c r="F160" s="30"/>
      <c r="G160" s="30"/>
      <c r="H160" s="30"/>
      <c r="I160" s="30"/>
      <c r="J160" s="772" t="s">
        <v>10</v>
      </c>
      <c r="K160" s="830">
        <f>SW_win.ser.201X_SEK</f>
        <v>78</v>
      </c>
      <c r="L160" s="742"/>
      <c r="M160" s="666"/>
      <c r="N160" s="744"/>
      <c r="O160" s="8"/>
      <c r="Q160" s="677"/>
      <c r="R160" s="677"/>
    </row>
    <row r="161" spans="2:18" s="4" customFormat="1" ht="25" customHeight="1">
      <c r="B161" s="137" t="s">
        <v>508</v>
      </c>
      <c r="C161" s="130"/>
      <c r="D161" s="38"/>
      <c r="E161" s="38" t="s">
        <v>417</v>
      </c>
      <c r="F161" s="773"/>
      <c r="G161" s="773"/>
      <c r="H161" s="773"/>
      <c r="I161" s="773"/>
      <c r="J161" s="775" t="s">
        <v>10</v>
      </c>
      <c r="K161" s="831">
        <f>SW_ms.sql.ser_SEK</f>
        <v>1498</v>
      </c>
      <c r="M161" s="666"/>
      <c r="N161" s="744"/>
      <c r="O161" s="8"/>
    </row>
    <row r="162" spans="2:18" ht="25" customHeight="1">
      <c r="B162" s="134" t="s">
        <v>509</v>
      </c>
      <c r="C162" s="129"/>
      <c r="D162" s="30"/>
      <c r="E162" s="30" t="s">
        <v>131</v>
      </c>
      <c r="F162" s="30"/>
      <c r="G162" s="30"/>
      <c r="H162" s="30"/>
      <c r="I162" s="30"/>
      <c r="J162" s="772" t="s">
        <v>94</v>
      </c>
      <c r="K162" s="830" t="str">
        <f>SW_nextcloud_SEK</f>
        <v>Begär offert</v>
      </c>
      <c r="L162" s="742"/>
      <c r="M162" s="666"/>
      <c r="N162" s="744"/>
      <c r="O162" s="8"/>
      <c r="Q162" s="677"/>
      <c r="R162" s="677"/>
    </row>
    <row r="163" spans="2:18" s="4" customFormat="1" ht="25" customHeight="1">
      <c r="B163" s="137" t="s">
        <v>510</v>
      </c>
      <c r="C163" s="130"/>
      <c r="D163" s="38"/>
      <c r="E163" s="38" t="s">
        <v>133</v>
      </c>
      <c r="F163" s="773"/>
      <c r="G163" s="773"/>
      <c r="H163" s="773"/>
      <c r="I163" s="773"/>
      <c r="J163" s="775" t="s">
        <v>94</v>
      </c>
      <c r="K163" s="831" t="str">
        <f>SW_suse_SEK</f>
        <v>Begär offert</v>
      </c>
      <c r="M163" s="666"/>
      <c r="N163" s="744"/>
      <c r="O163" s="8"/>
    </row>
    <row r="164" spans="2:18" ht="25" customHeight="1">
      <c r="B164" s="134" t="s">
        <v>511</v>
      </c>
      <c r="C164" s="129"/>
      <c r="D164" s="30"/>
      <c r="E164" s="30" t="s">
        <v>135</v>
      </c>
      <c r="F164" s="30"/>
      <c r="G164" s="30"/>
      <c r="H164" s="30"/>
      <c r="I164" s="30"/>
      <c r="J164" s="772" t="s">
        <v>94</v>
      </c>
      <c r="K164" s="830" t="str">
        <f>SW_cluster.control_SEK</f>
        <v>3x instanspris</v>
      </c>
      <c r="M164" s="666"/>
      <c r="N164" s="744"/>
      <c r="O164" s="8"/>
    </row>
    <row r="165" spans="2:18" ht="25" customHeight="1">
      <c r="B165" s="137" t="s">
        <v>512</v>
      </c>
      <c r="C165" s="130"/>
      <c r="D165" s="38"/>
      <c r="E165" s="38" t="s">
        <v>137</v>
      </c>
      <c r="F165" s="773"/>
      <c r="G165" s="773"/>
      <c r="H165" s="773"/>
      <c r="I165" s="773"/>
      <c r="J165" s="775" t="s">
        <v>138</v>
      </c>
      <c r="K165" s="831">
        <f>SW_backup.ninja_SEK</f>
        <v>400</v>
      </c>
      <c r="M165" s="666"/>
      <c r="N165" s="744"/>
      <c r="O165" s="8"/>
    </row>
    <row r="166" spans="2:18" ht="25" customHeight="1">
      <c r="B166" s="106"/>
      <c r="C166" s="103"/>
      <c r="D166" s="104"/>
      <c r="E166" s="105"/>
      <c r="F166" s="779"/>
      <c r="G166" s="779"/>
      <c r="H166" s="779"/>
      <c r="I166" s="779"/>
      <c r="J166" s="780"/>
      <c r="K166" s="859"/>
      <c r="M166" s="666"/>
      <c r="N166" s="744"/>
      <c r="O166" s="8"/>
    </row>
    <row r="167" spans="2:18" ht="25" customHeight="1">
      <c r="B167" s="137"/>
      <c r="C167" s="130"/>
      <c r="D167" s="41"/>
      <c r="E167" s="31"/>
      <c r="F167" s="773"/>
      <c r="G167" s="773"/>
      <c r="H167" s="773"/>
      <c r="I167" s="773"/>
      <c r="J167" s="781"/>
      <c r="K167" s="556"/>
      <c r="M167" s="666"/>
      <c r="N167" s="744"/>
      <c r="O167" s="8"/>
    </row>
    <row r="168" spans="2:18" ht="25" customHeight="1">
      <c r="M168" s="666"/>
      <c r="N168" s="744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66"/>
      <c r="N169" s="744"/>
      <c r="O169" s="8"/>
    </row>
    <row r="170" spans="2:18" ht="25" customHeight="1">
      <c r="B170" s="630" t="s">
        <v>459</v>
      </c>
      <c r="M170" s="666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66"/>
      <c r="N171" s="744"/>
      <c r="O171" s="8"/>
    </row>
    <row r="172" spans="2:18" ht="25" customHeight="1">
      <c r="B172" s="134" t="s">
        <v>498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70" t="str">
        <f>PAAS_man.kubernetes_SEK</f>
        <v>Begär offert</v>
      </c>
      <c r="M172" s="666"/>
      <c r="N172" s="744"/>
      <c r="O172" s="8"/>
    </row>
    <row r="173" spans="2:18" ht="25" customHeight="1">
      <c r="B173" s="137" t="s">
        <v>513</v>
      </c>
      <c r="C173" s="130"/>
      <c r="D173" s="38"/>
      <c r="E173" s="38" t="s">
        <v>415</v>
      </c>
      <c r="F173" s="773"/>
      <c r="G173" s="773"/>
      <c r="H173" s="773"/>
      <c r="I173" s="773"/>
      <c r="J173" s="781"/>
      <c r="K173" s="831" t="str">
        <f>PAAS_man.postgres.sql_SEK</f>
        <v>Begär offert</v>
      </c>
      <c r="M173" s="666"/>
      <c r="N173" s="744"/>
      <c r="O173" s="8"/>
    </row>
    <row r="174" spans="2:18" ht="25" customHeight="1">
      <c r="B174" s="134" t="s">
        <v>514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666"/>
      <c r="N174" s="744"/>
      <c r="O174" s="8"/>
    </row>
    <row r="175" spans="2:18" ht="25" customHeight="1">
      <c r="B175" s="137" t="s">
        <v>515</v>
      </c>
      <c r="C175" s="130"/>
      <c r="D175" s="38"/>
      <c r="E175" s="38" t="s">
        <v>436</v>
      </c>
      <c r="F175" s="773"/>
      <c r="G175" s="773"/>
      <c r="H175" s="773"/>
      <c r="I175" s="773"/>
      <c r="J175" s="781"/>
      <c r="K175" s="556">
        <f>PAAS_openshift_SEK</f>
        <v>0</v>
      </c>
      <c r="M175" s="666"/>
      <c r="N175" s="744"/>
      <c r="O175" s="8"/>
    </row>
    <row r="176" spans="2:18" ht="25" customHeight="1">
      <c r="B176" s="134" t="s">
        <v>516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666"/>
      <c r="N176" s="744"/>
      <c r="O176" s="8"/>
    </row>
    <row r="177" spans="2:20" ht="25" customHeight="1">
      <c r="B177" s="137" t="s">
        <v>517</v>
      </c>
      <c r="C177" s="130"/>
      <c r="D177" s="38"/>
      <c r="E177" s="38" t="s">
        <v>150</v>
      </c>
      <c r="F177" s="773"/>
      <c r="G177" s="773"/>
      <c r="H177" s="773"/>
      <c r="I177" s="773"/>
      <c r="J177" s="781"/>
      <c r="K177" s="556" t="str">
        <f>PAAS_man.mariadb_SEK</f>
        <v>Begär offert</v>
      </c>
      <c r="M177" s="666"/>
      <c r="N177" s="744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666"/>
      <c r="N178" s="744"/>
      <c r="O178" s="8"/>
    </row>
    <row r="179" spans="2:20" ht="25" customHeight="1">
      <c r="B179" s="106"/>
      <c r="C179" s="103"/>
      <c r="D179" s="397"/>
      <c r="E179" s="105"/>
      <c r="F179" s="779"/>
      <c r="G179" s="779"/>
      <c r="H179" s="779"/>
      <c r="I179" s="779"/>
      <c r="J179" s="780"/>
      <c r="K179" s="859"/>
      <c r="M179" s="666"/>
      <c r="N179" s="744"/>
      <c r="O179" s="8"/>
    </row>
    <row r="180" spans="2:20" ht="25" customHeight="1">
      <c r="B180" s="137"/>
      <c r="C180" s="130"/>
      <c r="D180" s="38"/>
      <c r="E180" s="31"/>
      <c r="F180" s="773"/>
      <c r="G180" s="781"/>
      <c r="H180" s="775"/>
      <c r="I180" s="441"/>
      <c r="M180" s="666"/>
    </row>
    <row r="181" spans="2:20" ht="25" customHeight="1">
      <c r="B181" s="417"/>
      <c r="C181" s="26"/>
      <c r="D181" s="26"/>
      <c r="E181" s="26"/>
      <c r="F181" s="762"/>
      <c r="G181" s="763"/>
      <c r="H181" s="26"/>
      <c r="I181" s="742"/>
      <c r="J181" s="742"/>
      <c r="K181" s="848"/>
      <c r="L181" s="744"/>
      <c r="M181" s="666"/>
      <c r="N181" s="677"/>
      <c r="O181" s="677"/>
    </row>
    <row r="182" spans="2:20" s="4" customFormat="1" ht="25" customHeight="1">
      <c r="B182" s="940" t="s">
        <v>244</v>
      </c>
      <c r="C182" s="940"/>
      <c r="D182" s="940"/>
      <c r="E182" s="940"/>
      <c r="F182" s="940"/>
      <c r="G182" s="940"/>
      <c r="H182" s="782"/>
      <c r="J182" s="676"/>
      <c r="K182" s="835"/>
      <c r="M182" s="666"/>
    </row>
    <row r="183" spans="2:20" s="4" customFormat="1" ht="25" customHeight="1">
      <c r="B183" s="940"/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61" t="s">
        <v>545</v>
      </c>
      <c r="C185" s="961"/>
      <c r="D185" s="961"/>
      <c r="E185" s="961"/>
      <c r="F185" s="961"/>
      <c r="H185" s="782"/>
      <c r="J185" s="676"/>
      <c r="K185" s="835"/>
      <c r="M185" s="666"/>
    </row>
    <row r="186" spans="2:20" s="4" customFormat="1" ht="25" customHeight="1">
      <c r="B186" s="956" t="s">
        <v>420</v>
      </c>
      <c r="C186" s="956"/>
      <c r="D186" s="956"/>
      <c r="E186" s="956"/>
      <c r="F186" s="956"/>
      <c r="G186" s="679"/>
      <c r="H186" s="680"/>
      <c r="I186" s="679"/>
      <c r="J186" s="681"/>
      <c r="K186" s="836"/>
      <c r="L186" s="679"/>
      <c r="M186" s="666"/>
    </row>
    <row r="187" spans="2:20" s="4" customFormat="1" ht="25" customHeight="1">
      <c r="B187" s="465"/>
      <c r="C187" s="133"/>
      <c r="D187" s="133"/>
      <c r="E187" s="133"/>
      <c r="F187" s="133"/>
      <c r="G187" s="679"/>
      <c r="H187" s="680"/>
      <c r="I187" s="679"/>
      <c r="J187" s="681"/>
      <c r="K187" s="836"/>
      <c r="L187" s="679"/>
      <c r="M187" s="666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0"/>
      <c r="L188" s="13"/>
      <c r="M188" s="666"/>
      <c r="O188" s="744"/>
      <c r="P188" s="744"/>
      <c r="Q188" s="8"/>
      <c r="S188" s="677"/>
      <c r="T188" s="677"/>
    </row>
    <row r="189" spans="2:20" ht="25" customHeight="1">
      <c r="B189" s="630" t="s">
        <v>541</v>
      </c>
      <c r="M189" s="666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42"/>
      <c r="M190" s="666"/>
      <c r="N190" s="744"/>
      <c r="O190" s="8"/>
      <c r="Q190" s="677"/>
      <c r="R190" s="677"/>
    </row>
    <row r="191" spans="2:20" ht="25" customHeight="1">
      <c r="B191" s="134" t="s">
        <v>518</v>
      </c>
      <c r="C191" s="129"/>
      <c r="D191" s="30" t="s">
        <v>421</v>
      </c>
      <c r="E191" s="40"/>
      <c r="F191" s="30"/>
      <c r="G191" s="40"/>
      <c r="H191" s="40"/>
      <c r="I191" s="777" t="s">
        <v>94</v>
      </c>
      <c r="J191" s="777"/>
      <c r="K191" s="557">
        <v>0</v>
      </c>
      <c r="L191" s="742"/>
      <c r="M191" s="666"/>
      <c r="N191" s="744"/>
      <c r="O191" s="8"/>
      <c r="Q191" s="677"/>
      <c r="R191" s="677"/>
    </row>
    <row r="192" spans="2:20" ht="25" customHeight="1">
      <c r="B192" s="137" t="s">
        <v>519</v>
      </c>
      <c r="C192" s="130"/>
      <c r="D192" s="38" t="s">
        <v>156</v>
      </c>
      <c r="E192" s="31"/>
      <c r="F192" s="773"/>
      <c r="G192" s="781"/>
      <c r="H192" s="781"/>
      <c r="I192" s="775" t="s">
        <v>245</v>
      </c>
      <c r="J192" s="775"/>
      <c r="K192" s="556" t="s">
        <v>536</v>
      </c>
      <c r="L192" s="742"/>
      <c r="M192" s="666"/>
      <c r="N192" s="744"/>
      <c r="O192" s="8"/>
      <c r="Q192" s="677"/>
      <c r="R192" s="677"/>
    </row>
    <row r="193" spans="2:18" ht="25" customHeight="1">
      <c r="B193" s="134" t="s">
        <v>520</v>
      </c>
      <c r="C193" s="129"/>
      <c r="D193" s="30" t="s">
        <v>160</v>
      </c>
      <c r="E193" s="129"/>
      <c r="F193" s="129"/>
      <c r="G193" s="129"/>
      <c r="H193" s="40"/>
      <c r="I193" s="772" t="s">
        <v>247</v>
      </c>
      <c r="J193" s="772"/>
      <c r="K193" s="557" t="s">
        <v>248</v>
      </c>
      <c r="L193" s="742"/>
      <c r="M193" s="666"/>
      <c r="N193" s="744"/>
      <c r="O193" s="8"/>
      <c r="Q193" s="677"/>
      <c r="R193" s="677"/>
    </row>
    <row r="194" spans="2:18" ht="25" customHeight="1">
      <c r="B194" s="106"/>
      <c r="C194" s="103"/>
      <c r="D194" s="103"/>
      <c r="E194" s="105"/>
      <c r="F194" s="779"/>
      <c r="G194" s="780"/>
      <c r="H194" s="780"/>
      <c r="I194" s="783"/>
      <c r="J194" s="783"/>
      <c r="K194" s="859"/>
      <c r="L194" s="742"/>
      <c r="M194" s="666"/>
      <c r="N194" s="744"/>
      <c r="O194" s="8"/>
      <c r="Q194" s="677"/>
      <c r="R194" s="677"/>
    </row>
    <row r="195" spans="2:18" ht="25" customHeight="1">
      <c r="B195" s="137"/>
      <c r="C195" s="130"/>
      <c r="D195" s="38"/>
      <c r="E195" s="31"/>
      <c r="F195" s="773"/>
      <c r="G195" s="781"/>
      <c r="H195" s="781"/>
      <c r="I195" s="775"/>
      <c r="J195" s="775"/>
      <c r="K195" s="556"/>
      <c r="L195" s="742"/>
      <c r="M195" s="666"/>
      <c r="N195" s="744"/>
      <c r="O195" s="8"/>
      <c r="Q195" s="677"/>
      <c r="R195" s="677"/>
    </row>
    <row r="196" spans="2:18" s="653" customFormat="1" ht="25" customHeight="1">
      <c r="B196" s="651" t="s">
        <v>250</v>
      </c>
      <c r="C196" s="880"/>
      <c r="D196" s="880"/>
      <c r="F196" s="880"/>
      <c r="G196" s="880"/>
      <c r="H196" s="880"/>
      <c r="I196" s="881"/>
      <c r="J196" s="881"/>
      <c r="K196" s="706"/>
      <c r="L196" s="882"/>
      <c r="M196" s="666"/>
      <c r="N196" s="883"/>
      <c r="O196" s="884"/>
      <c r="Q196" s="884"/>
      <c r="R196" s="884"/>
    </row>
    <row r="197" spans="2:18" ht="25" customHeight="1">
      <c r="B197" s="630" t="s">
        <v>542</v>
      </c>
      <c r="M197" s="666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42"/>
      <c r="M198" s="666"/>
      <c r="N198" s="744"/>
      <c r="O198" s="8"/>
      <c r="Q198" s="677"/>
      <c r="R198" s="677"/>
    </row>
    <row r="199" spans="2:18" ht="25" customHeight="1">
      <c r="B199" s="134" t="s">
        <v>521</v>
      </c>
      <c r="C199" s="129"/>
      <c r="D199" s="30" t="s">
        <v>166</v>
      </c>
      <c r="E199" s="40"/>
      <c r="F199" s="30"/>
      <c r="G199" s="40"/>
      <c r="H199" s="40"/>
      <c r="I199" s="772" t="s">
        <v>247</v>
      </c>
      <c r="J199" s="772"/>
      <c r="K199" s="631">
        <f>PS_consult.jun_SEK</f>
        <v>1127</v>
      </c>
      <c r="L199" s="742"/>
      <c r="M199" s="666"/>
      <c r="N199" s="744"/>
      <c r="O199" s="8"/>
      <c r="Q199" s="677"/>
      <c r="R199" s="677"/>
    </row>
    <row r="200" spans="2:18" ht="25" customHeight="1">
      <c r="B200" s="137" t="s">
        <v>522</v>
      </c>
      <c r="C200" s="130"/>
      <c r="D200" s="38" t="s">
        <v>168</v>
      </c>
      <c r="E200" s="31"/>
      <c r="F200" s="773"/>
      <c r="G200" s="781"/>
      <c r="H200" s="781"/>
      <c r="I200" s="775" t="s">
        <v>247</v>
      </c>
      <c r="J200" s="775"/>
      <c r="K200" s="869">
        <f>PS_consult.sen_SEK</f>
        <v>1374</v>
      </c>
      <c r="L200" s="742"/>
      <c r="M200" s="666"/>
      <c r="N200" s="744"/>
      <c r="O200" s="8"/>
      <c r="Q200" s="677"/>
      <c r="R200" s="677"/>
    </row>
    <row r="201" spans="2:18" ht="25" customHeight="1">
      <c r="B201" s="134" t="s">
        <v>523</v>
      </c>
      <c r="C201" s="129"/>
      <c r="D201" s="30" t="s">
        <v>170</v>
      </c>
      <c r="E201" s="40"/>
      <c r="F201" s="30"/>
      <c r="G201" s="40"/>
      <c r="H201" s="40"/>
      <c r="I201" s="772" t="s">
        <v>247</v>
      </c>
      <c r="J201" s="772"/>
      <c r="K201" s="631">
        <f>PS_cloudarch.jun_SEK</f>
        <v>1277</v>
      </c>
      <c r="L201" s="742"/>
      <c r="M201" s="666"/>
      <c r="N201" s="744"/>
      <c r="O201" s="8"/>
      <c r="Q201" s="677"/>
      <c r="R201" s="677"/>
    </row>
    <row r="202" spans="2:18" ht="25" customHeight="1">
      <c r="B202" s="137" t="s">
        <v>524</v>
      </c>
      <c r="C202" s="130"/>
      <c r="D202" s="38" t="s">
        <v>172</v>
      </c>
      <c r="E202" s="38"/>
      <c r="F202" s="38"/>
      <c r="G202" s="781"/>
      <c r="H202" s="781"/>
      <c r="I202" s="775" t="s">
        <v>247</v>
      </c>
      <c r="J202" s="775"/>
      <c r="K202" s="869">
        <f>PS_cloudarch.sen_SEK</f>
        <v>1374</v>
      </c>
      <c r="L202" s="742"/>
      <c r="M202" s="666"/>
      <c r="N202" s="744"/>
      <c r="O202" s="8"/>
      <c r="Q202" s="677"/>
      <c r="R202" s="677"/>
    </row>
    <row r="203" spans="2:18" ht="25" customHeight="1">
      <c r="B203" s="134" t="s">
        <v>525</v>
      </c>
      <c r="C203" s="129"/>
      <c r="D203" s="30" t="s">
        <v>174</v>
      </c>
      <c r="E203" s="40"/>
      <c r="F203" s="30"/>
      <c r="G203" s="40"/>
      <c r="H203" s="40"/>
      <c r="I203" s="772" t="s">
        <v>247</v>
      </c>
      <c r="J203" s="772"/>
      <c r="K203" s="631">
        <f>PS_pm.jun_SEK</f>
        <v>1139</v>
      </c>
      <c r="L203" s="742"/>
      <c r="M203" s="666"/>
      <c r="N203" s="744"/>
      <c r="O203" s="8"/>
      <c r="Q203" s="677"/>
      <c r="R203" s="677"/>
    </row>
    <row r="204" spans="2:18" ht="25" customHeight="1">
      <c r="B204" s="137" t="s">
        <v>526</v>
      </c>
      <c r="C204" s="130"/>
      <c r="D204" s="38" t="s">
        <v>176</v>
      </c>
      <c r="E204" s="31"/>
      <c r="F204" s="773"/>
      <c r="G204" s="781"/>
      <c r="H204" s="781"/>
      <c r="I204" s="775" t="s">
        <v>247</v>
      </c>
      <c r="J204" s="775"/>
      <c r="K204" s="869">
        <f>PS_pm.sen_SEK</f>
        <v>1374</v>
      </c>
      <c r="L204" s="742"/>
      <c r="M204" s="666"/>
      <c r="N204" s="744"/>
      <c r="O204" s="8"/>
      <c r="Q204" s="677"/>
      <c r="R204" s="677"/>
    </row>
    <row r="205" spans="2:18" ht="25" customHeight="1">
      <c r="B205" s="106"/>
      <c r="C205" s="103"/>
      <c r="D205" s="397"/>
      <c r="E205" s="105"/>
      <c r="F205" s="779"/>
      <c r="G205" s="780"/>
      <c r="H205" s="780"/>
      <c r="I205" s="783"/>
      <c r="J205" s="783"/>
      <c r="K205" s="859"/>
      <c r="L205" s="742"/>
      <c r="M205" s="666"/>
      <c r="N205" s="744"/>
      <c r="O205" s="8"/>
      <c r="Q205" s="677"/>
      <c r="R205" s="677"/>
    </row>
    <row r="206" spans="2:18" ht="25" customHeight="1">
      <c r="B206" s="137"/>
      <c r="C206" s="130"/>
      <c r="D206" s="38"/>
      <c r="E206" s="31"/>
      <c r="F206" s="773"/>
      <c r="G206" s="781"/>
      <c r="H206" s="781"/>
      <c r="I206" s="775"/>
      <c r="J206" s="775"/>
      <c r="K206" s="556"/>
      <c r="M206" s="666"/>
      <c r="N206" s="744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78"/>
      <c r="J207" s="778"/>
      <c r="L207" s="742"/>
      <c r="M207" s="666"/>
      <c r="N207" s="744"/>
      <c r="O207" s="8"/>
      <c r="Q207" s="677"/>
      <c r="R207" s="677"/>
    </row>
    <row r="208" spans="2:18" ht="25" customHeight="1">
      <c r="B208" s="630" t="s">
        <v>543</v>
      </c>
      <c r="M208" s="666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42"/>
      <c r="M209" s="666"/>
      <c r="N209" s="744"/>
      <c r="O209" s="8"/>
      <c r="Q209" s="677"/>
      <c r="R209" s="677"/>
    </row>
    <row r="210" spans="1:18" ht="25" customHeight="1">
      <c r="B210" s="134" t="s">
        <v>527</v>
      </c>
      <c r="C210" s="129"/>
      <c r="D210" s="30" t="s">
        <v>253</v>
      </c>
      <c r="E210" s="40"/>
      <c r="F210" s="30"/>
      <c r="G210" s="772" t="s">
        <v>254</v>
      </c>
      <c r="H210" s="772"/>
      <c r="I210" s="772" t="s">
        <v>255</v>
      </c>
      <c r="J210" s="772"/>
      <c r="K210" s="557" t="s">
        <v>248</v>
      </c>
      <c r="L210" s="742"/>
      <c r="M210" s="666"/>
      <c r="N210" s="744"/>
      <c r="O210" s="8"/>
      <c r="Q210" s="677"/>
      <c r="R210" s="677"/>
    </row>
    <row r="211" spans="1:18" ht="25" customHeight="1">
      <c r="B211" s="137" t="s">
        <v>528</v>
      </c>
      <c r="C211" s="130"/>
      <c r="D211" s="38" t="s">
        <v>256</v>
      </c>
      <c r="E211" s="31"/>
      <c r="F211" s="773"/>
      <c r="G211" s="775" t="s">
        <v>254</v>
      </c>
      <c r="H211" s="775"/>
      <c r="I211" s="775" t="s">
        <v>255</v>
      </c>
      <c r="J211" s="775"/>
      <c r="K211" s="556" t="s">
        <v>248</v>
      </c>
      <c r="L211" s="742"/>
      <c r="M211" s="666"/>
      <c r="N211" s="744"/>
      <c r="O211" s="8"/>
      <c r="Q211" s="677"/>
      <c r="R211" s="677"/>
    </row>
    <row r="212" spans="1:18" ht="25" customHeight="1">
      <c r="B212" s="134" t="s">
        <v>529</v>
      </c>
      <c r="C212" s="129"/>
      <c r="D212" s="30" t="s">
        <v>257</v>
      </c>
      <c r="E212" s="40"/>
      <c r="F212" s="30"/>
      <c r="G212" s="772" t="s">
        <v>258</v>
      </c>
      <c r="H212" s="772"/>
      <c r="I212" s="772" t="s">
        <v>255</v>
      </c>
      <c r="J212" s="772"/>
      <c r="K212" s="557" t="s">
        <v>248</v>
      </c>
      <c r="L212" s="742"/>
      <c r="M212" s="666"/>
      <c r="N212" s="744"/>
      <c r="O212" s="8"/>
      <c r="Q212" s="677"/>
      <c r="R212" s="677"/>
    </row>
    <row r="213" spans="1:18" ht="25" customHeight="1">
      <c r="B213" s="137" t="s">
        <v>530</v>
      </c>
      <c r="C213" s="130"/>
      <c r="D213" s="38" t="s">
        <v>259</v>
      </c>
      <c r="E213" s="31"/>
      <c r="F213" s="773"/>
      <c r="G213" s="775" t="s">
        <v>258</v>
      </c>
      <c r="H213" s="775"/>
      <c r="I213" s="775" t="s">
        <v>255</v>
      </c>
      <c r="J213" s="775"/>
      <c r="K213" s="556" t="s">
        <v>248</v>
      </c>
      <c r="L213" s="742"/>
      <c r="M213" s="666"/>
      <c r="N213" s="744"/>
      <c r="O213" s="8"/>
      <c r="Q213" s="677"/>
      <c r="R213" s="677"/>
    </row>
    <row r="214" spans="1:18" ht="25" customHeight="1">
      <c r="B214" s="106"/>
      <c r="C214" s="103"/>
      <c r="D214" s="397"/>
      <c r="E214" s="105"/>
      <c r="F214" s="779"/>
      <c r="G214" s="780"/>
      <c r="H214" s="780"/>
      <c r="I214" s="780"/>
      <c r="J214" s="780"/>
      <c r="K214" s="859"/>
      <c r="L214" s="742"/>
      <c r="M214" s="666"/>
      <c r="N214" s="744"/>
      <c r="O214" s="8"/>
      <c r="Q214" s="677"/>
      <c r="R214" s="677"/>
    </row>
    <row r="215" spans="1:18" ht="25" customHeight="1">
      <c r="B215" s="417"/>
      <c r="C215" s="26"/>
      <c r="D215" s="26"/>
      <c r="E215" s="26"/>
      <c r="F215" s="762"/>
      <c r="G215" s="763"/>
      <c r="H215" s="742"/>
      <c r="I215" s="742"/>
      <c r="J215" s="742"/>
      <c r="K215" s="849"/>
      <c r="L215" s="744"/>
      <c r="M215" s="666"/>
      <c r="N215" s="677"/>
      <c r="O215" s="677"/>
    </row>
    <row r="216" spans="1:18" ht="25" customHeight="1">
      <c r="A216" s="771"/>
      <c r="B216" s="642"/>
      <c r="C216" s="60"/>
      <c r="D216" s="60"/>
      <c r="E216" s="60"/>
      <c r="F216" s="784"/>
      <c r="G216" s="785"/>
      <c r="H216" s="786"/>
      <c r="I216" s="787"/>
      <c r="J216" s="788"/>
      <c r="K216" s="861"/>
      <c r="L216" s="789"/>
      <c r="M216" s="666"/>
      <c r="N216" s="677"/>
      <c r="O216" s="677"/>
    </row>
    <row r="217" spans="1:18" s="4" customFormat="1" ht="25" customHeight="1">
      <c r="A217" s="3"/>
      <c r="B217" s="643"/>
      <c r="C217" s="54"/>
      <c r="D217" s="54"/>
      <c r="E217" s="54"/>
      <c r="F217" s="790"/>
      <c r="G217" s="791"/>
      <c r="H217" s="792"/>
      <c r="I217" s="793"/>
      <c r="J217" s="794"/>
      <c r="K217" s="862"/>
      <c r="L217" s="3"/>
      <c r="M217" s="666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959" t="s">
        <v>260</v>
      </c>
      <c r="C220" s="959"/>
      <c r="D220" s="959"/>
      <c r="E220" s="959"/>
      <c r="F220" s="959"/>
      <c r="G220" s="959"/>
      <c r="H220" s="668"/>
      <c r="I220" s="795"/>
      <c r="J220" s="3"/>
      <c r="K220" s="833"/>
      <c r="L220" s="3"/>
      <c r="M220" s="666"/>
    </row>
    <row r="221" spans="1:18" s="4" customFormat="1" ht="25" customHeight="1">
      <c r="A221" s="3"/>
      <c r="B221" s="959"/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60" t="s">
        <v>420</v>
      </c>
      <c r="C223" s="960"/>
      <c r="D223" s="960"/>
      <c r="E223" s="960"/>
      <c r="F223" s="960"/>
      <c r="G223" s="3"/>
      <c r="H223" s="668"/>
      <c r="I223" s="795"/>
      <c r="J223" s="3"/>
      <c r="K223" s="833"/>
      <c r="L223" s="796"/>
      <c r="M223" s="666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422" t="s">
        <v>531</v>
      </c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8"/>
      <c r="I226" s="3"/>
      <c r="J226" s="669"/>
      <c r="K226" s="833"/>
      <c r="L226" s="796"/>
      <c r="M226" s="666"/>
    </row>
    <row r="227" spans="1:20" s="4" customFormat="1" ht="25" customHeight="1">
      <c r="A227" s="3"/>
      <c r="B227" s="931" t="s">
        <v>3</v>
      </c>
      <c r="C227" s="67"/>
      <c r="D227" s="67"/>
      <c r="E227" s="67"/>
      <c r="F227" s="67"/>
      <c r="G227" s="796"/>
      <c r="H227" s="797"/>
      <c r="I227" s="796"/>
      <c r="J227" s="798"/>
      <c r="K227" s="863"/>
      <c r="L227" s="796"/>
      <c r="M227" s="666"/>
    </row>
    <row r="228" spans="1:20" s="717" customFormat="1" ht="25" customHeight="1">
      <c r="A228" s="799"/>
      <c r="B228" s="885"/>
      <c r="C228" s="135"/>
      <c r="D228" s="135"/>
      <c r="E228" s="135"/>
      <c r="F228" s="135"/>
      <c r="G228" s="796"/>
      <c r="H228" s="797"/>
      <c r="I228" s="796"/>
      <c r="J228" s="798"/>
      <c r="K228" s="863"/>
      <c r="L228" s="799"/>
      <c r="M228" s="666"/>
      <c r="N228" s="800"/>
      <c r="O228" s="731"/>
      <c r="P228" s="731"/>
      <c r="Q228" s="731"/>
      <c r="R228" s="731"/>
      <c r="S228" s="731"/>
      <c r="T228" s="731"/>
    </row>
    <row r="229" spans="1:20" ht="25" customHeight="1">
      <c r="A229" s="2"/>
      <c r="B229" s="644" t="s">
        <v>532</v>
      </c>
      <c r="C229" s="56"/>
      <c r="D229" s="57"/>
      <c r="E229" s="56"/>
      <c r="F229" s="661"/>
      <c r="G229" s="661"/>
      <c r="H229" s="661"/>
      <c r="I229" s="56"/>
      <c r="J229" s="661" t="s">
        <v>260</v>
      </c>
      <c r="K229" s="864"/>
      <c r="L229" s="801"/>
      <c r="M229" s="666"/>
      <c r="N229" s="28"/>
    </row>
    <row r="230" spans="1:20" ht="25" customHeight="1">
      <c r="A230" s="2"/>
      <c r="B230" s="829" t="s">
        <v>4</v>
      </c>
      <c r="C230" s="65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58"/>
      <c r="F230" s="658"/>
      <c r="G230" s="659"/>
      <c r="H230" s="802"/>
      <c r="I230" s="803"/>
      <c r="J230" s="662">
        <f>K64+K73+K55+K38+K82</f>
        <v>0</v>
      </c>
      <c r="K230" s="830"/>
      <c r="L230" s="2"/>
      <c r="M230" s="666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0"/>
      <c r="E231" s="660"/>
      <c r="F231" s="804"/>
      <c r="G231" s="805"/>
      <c r="H231" s="805"/>
      <c r="I231" s="806"/>
      <c r="J231" s="663">
        <f>K95</f>
        <v>0</v>
      </c>
      <c r="K231" s="830"/>
      <c r="L231" s="2"/>
      <c r="M231" s="666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4"/>
      <c r="G232" s="805"/>
      <c r="H232" s="805"/>
      <c r="I232" s="806"/>
      <c r="J232" s="663">
        <f>K119</f>
        <v>0</v>
      </c>
      <c r="K232" s="830"/>
      <c r="L232" s="2"/>
      <c r="M232" s="666"/>
      <c r="N232" s="28"/>
    </row>
    <row r="233" spans="1:20" s="810" customFormat="1" ht="25" customHeight="1">
      <c r="A233" s="808"/>
      <c r="B233" s="809" t="s">
        <v>222</v>
      </c>
      <c r="C233" s="809"/>
      <c r="D233" s="809"/>
      <c r="E233" s="809"/>
      <c r="F233" s="809"/>
      <c r="G233" s="809"/>
      <c r="H233" s="809"/>
      <c r="I233" s="809"/>
      <c r="J233" s="664">
        <f>SUM(J230:J232)</f>
        <v>0</v>
      </c>
      <c r="K233" s="865"/>
      <c r="L233" s="808"/>
      <c r="M233" s="666"/>
    </row>
    <row r="234" spans="1:20" ht="25" customHeight="1">
      <c r="A234" s="2"/>
      <c r="B234" s="421"/>
      <c r="C234" s="59"/>
      <c r="D234" s="59"/>
      <c r="E234" s="59"/>
      <c r="F234" s="811"/>
      <c r="G234" s="812"/>
      <c r="H234" s="812"/>
      <c r="I234" s="813"/>
      <c r="J234" s="813"/>
      <c r="K234" s="866"/>
      <c r="L234" s="2"/>
      <c r="M234" s="666"/>
    </row>
    <row r="235" spans="1:20" ht="25" customHeight="1">
      <c r="A235" s="2"/>
      <c r="B235" s="645"/>
      <c r="C235" s="30"/>
      <c r="D235" s="36"/>
      <c r="E235" s="37"/>
      <c r="F235" s="40"/>
      <c r="G235" s="442"/>
      <c r="H235" s="30"/>
      <c r="I235" s="776"/>
      <c r="J235" s="736"/>
      <c r="K235" s="830"/>
      <c r="L235" s="2"/>
      <c r="M235" s="666"/>
    </row>
    <row r="236" spans="1:20" ht="25" customHeight="1">
      <c r="A236" s="814"/>
      <c r="B236" s="646"/>
      <c r="C236" s="42"/>
      <c r="D236" s="33"/>
      <c r="E236" s="34"/>
      <c r="F236" s="815"/>
      <c r="G236" s="807"/>
      <c r="H236" s="42"/>
      <c r="I236" s="816"/>
      <c r="J236" s="437"/>
      <c r="K236" s="596"/>
      <c r="L236" s="817"/>
      <c r="M236" s="666"/>
    </row>
    <row r="237" spans="1:20" s="112" customFormat="1" ht="25" customHeight="1">
      <c r="B237" s="647"/>
      <c r="C237" s="108"/>
      <c r="D237" s="109"/>
      <c r="E237" s="110"/>
      <c r="F237" s="818"/>
      <c r="G237" s="819"/>
      <c r="H237" s="108"/>
      <c r="I237" s="820"/>
      <c r="J237" s="821"/>
      <c r="K237" s="867"/>
    </row>
    <row r="238" spans="1:20" s="112" customFormat="1" ht="25" customHeight="1">
      <c r="B238" s="934" t="s">
        <v>453</v>
      </c>
      <c r="C238" s="108"/>
      <c r="D238" s="108"/>
      <c r="E238" s="108"/>
      <c r="F238" s="822"/>
      <c r="G238" s="823"/>
      <c r="H238" s="824"/>
      <c r="I238" s="824"/>
      <c r="J238" s="824"/>
      <c r="K238" s="868"/>
      <c r="L238" s="821"/>
      <c r="M238" s="821"/>
      <c r="N238" s="821"/>
    </row>
    <row r="239" spans="1:20" s="112" customFormat="1" ht="25" customHeight="1">
      <c r="B239" s="935" t="s">
        <v>454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6" t="s">
        <v>455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5" t="s">
        <v>456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7" t="s">
        <v>669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647"/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825" customFormat="1" ht="25" customHeight="1">
      <c r="A247" s="112"/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8"/>
      <c r="K267" s="868"/>
      <c r="M267" s="826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29" spans="2:4" ht="25" customHeight="1">
      <c r="B329" s="649"/>
      <c r="C329" s="38"/>
      <c r="D329" s="96"/>
    </row>
  </sheetData>
  <sheetProtection algorithmName="SHA-512" hashValue="aJDDuWW1652JB6LgefVLH4FizjrZwwcTVt+20i7/cPx+88d20g5RzjlYvfE7TMLfOJ07Mz5oOXRzrjlGbBVJRA==" saltValue="CpAbGSa8ECr+ow3Hh0mJu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6" max="11" man="1"/>
    <brk id="256" max="13" man="1"/>
    <brk id="278" max="16383" man="1"/>
  </rowBreaks>
  <ignoredErrors>
    <ignoredError sqref="G80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topLeftCell="A6" zoomScaleNormal="10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674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654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666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548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2" t="s">
        <v>557</v>
      </c>
      <c r="C20" s="74"/>
      <c r="D20" s="74"/>
      <c r="E20" s="74"/>
      <c r="F20" s="133"/>
      <c r="G20" s="679"/>
      <c r="H20" s="680"/>
      <c r="I20" s="679"/>
      <c r="J20" s="681"/>
      <c r="K20" s="836"/>
      <c r="L20" s="748"/>
      <c r="M20" s="666"/>
      <c r="O20" s="677"/>
      <c r="P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549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62" t="s">
        <v>645</v>
      </c>
      <c r="C24" s="962"/>
      <c r="D24" s="962"/>
      <c r="E24" s="962"/>
      <c r="F24" s="962"/>
      <c r="M24" s="666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551</v>
      </c>
      <c r="F25" s="131" t="s">
        <v>13</v>
      </c>
      <c r="G25" s="131" t="s">
        <v>552</v>
      </c>
      <c r="H25" s="688"/>
      <c r="I25" s="689" t="s">
        <v>553</v>
      </c>
      <c r="J25" s="688"/>
      <c r="K25" s="839" t="s">
        <v>17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890">
        <f t="shared" ref="F26:F37" si="0">G26/720</f>
        <v>6.133333333333333E-2</v>
      </c>
      <c r="G26" s="890">
        <f t="shared" ref="G26:G37" si="1">C26*IAAS_vcpu_EUR+D26*IAAS_ram_EUR+E26*IAAS_nvme_EUR</f>
        <v>44.16</v>
      </c>
      <c r="H26" s="44"/>
      <c r="I26" s="693"/>
      <c r="J26" s="44"/>
      <c r="K26" s="892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891">
        <f t="shared" si="0"/>
        <v>0.11244444444444443</v>
      </c>
      <c r="G27" s="891">
        <f t="shared" si="1"/>
        <v>80.959999999999994</v>
      </c>
      <c r="H27" s="46"/>
      <c r="I27" s="693"/>
      <c r="J27" s="46"/>
      <c r="K27" s="893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890">
        <f t="shared" si="0"/>
        <v>0.17633333333333331</v>
      </c>
      <c r="G28" s="890">
        <f t="shared" si="1"/>
        <v>126.96</v>
      </c>
      <c r="H28" s="44"/>
      <c r="I28" s="693"/>
      <c r="J28" s="44"/>
      <c r="K28" s="892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891">
        <f t="shared" si="0"/>
        <v>0.10988888888888887</v>
      </c>
      <c r="G29" s="891">
        <f t="shared" si="1"/>
        <v>79.11999999999999</v>
      </c>
      <c r="H29" s="46"/>
      <c r="I29" s="693"/>
      <c r="J29" s="46"/>
      <c r="K29" s="893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890">
        <f t="shared" si="0"/>
        <v>0.16099999999999998</v>
      </c>
      <c r="G30" s="890">
        <f t="shared" si="1"/>
        <v>115.91999999999999</v>
      </c>
      <c r="H30" s="44"/>
      <c r="I30" s="693"/>
      <c r="J30" s="44"/>
      <c r="K30" s="892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891">
        <f t="shared" si="0"/>
        <v>0.22488888888888886</v>
      </c>
      <c r="G31" s="891">
        <f t="shared" si="1"/>
        <v>161.91999999999999</v>
      </c>
      <c r="H31" s="46"/>
      <c r="I31" s="693"/>
      <c r="J31" s="46"/>
      <c r="K31" s="893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890">
        <f t="shared" si="0"/>
        <v>0.20699999999999996</v>
      </c>
      <c r="G32" s="890">
        <f t="shared" si="1"/>
        <v>149.03999999999996</v>
      </c>
      <c r="H32" s="44"/>
      <c r="I32" s="693"/>
      <c r="J32" s="44"/>
      <c r="K32" s="892">
        <f t="shared" si="2"/>
        <v>0</v>
      </c>
      <c r="M32" s="666"/>
      <c r="P32" s="683"/>
      <c r="R32" s="683"/>
    </row>
    <row r="33" spans="2:18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891">
        <f t="shared" si="0"/>
        <v>0.25811111111111107</v>
      </c>
      <c r="G33" s="891">
        <f t="shared" si="1"/>
        <v>185.83999999999997</v>
      </c>
      <c r="H33" s="46"/>
      <c r="I33" s="693"/>
      <c r="J33" s="46"/>
      <c r="K33" s="893">
        <f t="shared" si="2"/>
        <v>0</v>
      </c>
      <c r="M33" s="666"/>
      <c r="P33" s="683"/>
      <c r="R33" s="683"/>
    </row>
    <row r="34" spans="2:18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890">
        <f t="shared" si="0"/>
        <v>0.32199999999999995</v>
      </c>
      <c r="G34" s="890">
        <f t="shared" si="1"/>
        <v>231.83999999999997</v>
      </c>
      <c r="H34" s="44"/>
      <c r="I34" s="693"/>
      <c r="J34" s="44"/>
      <c r="K34" s="892">
        <f t="shared" si="2"/>
        <v>0</v>
      </c>
      <c r="M34" s="666"/>
      <c r="P34" s="683"/>
      <c r="R34" s="683"/>
    </row>
    <row r="35" spans="2:18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891">
        <f t="shared" si="0"/>
        <v>0.40122222222222215</v>
      </c>
      <c r="G35" s="891">
        <f t="shared" si="1"/>
        <v>288.87999999999994</v>
      </c>
      <c r="H35" s="46"/>
      <c r="I35" s="693"/>
      <c r="J35" s="46"/>
      <c r="K35" s="893">
        <f t="shared" si="2"/>
        <v>0</v>
      </c>
      <c r="M35" s="666"/>
      <c r="P35" s="683"/>
      <c r="R35" s="683"/>
    </row>
    <row r="36" spans="2:18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890">
        <f t="shared" si="0"/>
        <v>0.45233333333333325</v>
      </c>
      <c r="G36" s="890">
        <f t="shared" si="1"/>
        <v>325.67999999999995</v>
      </c>
      <c r="H36" s="44"/>
      <c r="I36" s="693"/>
      <c r="J36" s="44"/>
      <c r="K36" s="892">
        <f t="shared" si="2"/>
        <v>0</v>
      </c>
      <c r="M36" s="666"/>
      <c r="P36" s="683"/>
      <c r="R36" s="683"/>
    </row>
    <row r="37" spans="2:18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891">
        <f t="shared" si="0"/>
        <v>0.51622222222222214</v>
      </c>
      <c r="G37" s="891">
        <f t="shared" si="1"/>
        <v>371.67999999999995</v>
      </c>
      <c r="H37" s="46"/>
      <c r="I37" s="693"/>
      <c r="J37" s="46"/>
      <c r="K37" s="893">
        <f t="shared" si="2"/>
        <v>0</v>
      </c>
      <c r="M37" s="666"/>
      <c r="P37" s="683"/>
      <c r="R37" s="683"/>
    </row>
    <row r="38" spans="2:18" s="875" customFormat="1" ht="25" customHeight="1">
      <c r="B38" s="871" t="s">
        <v>30</v>
      </c>
      <c r="C38" s="872" cm="1">
        <f t="array" ref="C38">SUM(C26:C37*I26:I37)</f>
        <v>0</v>
      </c>
      <c r="D38" s="872" cm="1">
        <f t="array" ref="D38">SUM(D26:D37*I26:I37)</f>
        <v>0</v>
      </c>
      <c r="E38" s="895" cm="1">
        <f t="array" ref="E38">SUM(E26:E37*I26:I37)</f>
        <v>0</v>
      </c>
      <c r="F38" s="872"/>
      <c r="G38" s="872"/>
      <c r="H38" s="872"/>
      <c r="I38" s="872">
        <f>SUM(I26:I37)</f>
        <v>0</v>
      </c>
      <c r="J38" s="872"/>
      <c r="K38" s="894">
        <f>SUM(K26:K37)</f>
        <v>0</v>
      </c>
      <c r="M38" s="666"/>
      <c r="P38" s="876"/>
      <c r="R38" s="876"/>
    </row>
    <row r="39" spans="2:18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8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8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8" s="653" customFormat="1" ht="25" customHeight="1">
      <c r="B42" s="654" t="s">
        <v>602</v>
      </c>
      <c r="C42" s="652"/>
      <c r="D42" s="652"/>
      <c r="K42" s="844"/>
      <c r="M42" s="666"/>
    </row>
    <row r="43" spans="2:18" ht="25" customHeight="1">
      <c r="B43" s="962" t="s">
        <v>645</v>
      </c>
      <c r="C43" s="962"/>
      <c r="D43" s="962"/>
      <c r="E43" s="962"/>
      <c r="F43" s="962"/>
      <c r="M43" s="666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551</v>
      </c>
      <c r="F44" s="131" t="s">
        <v>13</v>
      </c>
      <c r="G44" s="131" t="s">
        <v>552</v>
      </c>
      <c r="H44" s="688"/>
      <c r="I44" s="689" t="s">
        <v>553</v>
      </c>
      <c r="J44" s="688"/>
      <c r="K44" s="839" t="s">
        <v>17</v>
      </c>
      <c r="M44" s="666"/>
      <c r="N44" s="1"/>
      <c r="O44" s="1"/>
      <c r="P44" s="683"/>
      <c r="Q44" s="683"/>
      <c r="R44" s="690"/>
    </row>
    <row r="45" spans="2:18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890">
        <f t="shared" ref="F45:F54" si="3">G45/720</f>
        <v>2.4277777777777773E-2</v>
      </c>
      <c r="G45" s="890">
        <f t="shared" ref="G45:G54" si="4">C45*IAAS_vcpu_EUR+D45*IAAS_ram_EUR+E45*IAAS_ssd_EUR</f>
        <v>17.479999999999997</v>
      </c>
      <c r="H45" s="44"/>
      <c r="I45" s="693"/>
      <c r="J45" s="44"/>
      <c r="K45" s="892">
        <f t="shared" ref="K45:K54" si="5">ROUNDUP(I45*G45,2)</f>
        <v>0</v>
      </c>
      <c r="M45" s="666"/>
      <c r="N45" s="710"/>
      <c r="O45" s="711"/>
    </row>
    <row r="46" spans="2:18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891">
        <f t="shared" si="3"/>
        <v>3.833333333333333E-2</v>
      </c>
      <c r="G46" s="891">
        <f t="shared" si="4"/>
        <v>27.599999999999998</v>
      </c>
      <c r="H46" s="46"/>
      <c r="I46" s="693"/>
      <c r="J46" s="46"/>
      <c r="K46" s="893">
        <f t="shared" si="5"/>
        <v>0</v>
      </c>
      <c r="L46" s="712"/>
      <c r="M46" s="666"/>
      <c r="N46" s="710"/>
      <c r="O46" s="711"/>
    </row>
    <row r="47" spans="2:18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890">
        <f t="shared" si="3"/>
        <v>4.8555555555555546E-2</v>
      </c>
      <c r="G47" s="890">
        <f t="shared" si="4"/>
        <v>34.959999999999994</v>
      </c>
      <c r="H47" s="44"/>
      <c r="I47" s="693"/>
      <c r="J47" s="44"/>
      <c r="K47" s="892">
        <f t="shared" si="5"/>
        <v>0</v>
      </c>
      <c r="L47" s="712"/>
      <c r="M47" s="666"/>
      <c r="N47" s="710"/>
      <c r="O47" s="711"/>
    </row>
    <row r="48" spans="2:18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891">
        <f t="shared" si="3"/>
        <v>7.6666666666666661E-2</v>
      </c>
      <c r="G48" s="891">
        <f t="shared" si="4"/>
        <v>55.199999999999996</v>
      </c>
      <c r="H48" s="46"/>
      <c r="I48" s="693"/>
      <c r="J48" s="46"/>
      <c r="K48" s="893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890">
        <f t="shared" si="3"/>
        <v>9.7111111111111093E-2</v>
      </c>
      <c r="G49" s="890">
        <f t="shared" si="4"/>
        <v>69.919999999999987</v>
      </c>
      <c r="H49" s="44"/>
      <c r="I49" s="693"/>
      <c r="J49" s="44"/>
      <c r="K49" s="892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891">
        <f t="shared" si="3"/>
        <v>0.15333333333333332</v>
      </c>
      <c r="G50" s="891">
        <f t="shared" si="4"/>
        <v>110.39999999999999</v>
      </c>
      <c r="H50" s="46"/>
      <c r="I50" s="693"/>
      <c r="J50" s="46"/>
      <c r="K50" s="893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890">
        <f t="shared" si="3"/>
        <v>0.19422222222222219</v>
      </c>
      <c r="G51" s="890">
        <f t="shared" si="4"/>
        <v>139.83999999999997</v>
      </c>
      <c r="H51" s="44"/>
      <c r="I51" s="693"/>
      <c r="J51" s="44"/>
      <c r="K51" s="892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891">
        <f t="shared" si="3"/>
        <v>0.30666666666666664</v>
      </c>
      <c r="G52" s="891">
        <f t="shared" si="4"/>
        <v>220.79999999999998</v>
      </c>
      <c r="H52" s="46"/>
      <c r="I52" s="693"/>
      <c r="J52" s="46"/>
      <c r="K52" s="893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890">
        <f t="shared" si="3"/>
        <v>0.38844444444444437</v>
      </c>
      <c r="G53" s="890">
        <f t="shared" si="4"/>
        <v>279.67999999999995</v>
      </c>
      <c r="H53" s="44"/>
      <c r="I53" s="693"/>
      <c r="J53" s="44"/>
      <c r="K53" s="892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891">
        <f t="shared" si="3"/>
        <v>0.61333333333333329</v>
      </c>
      <c r="G54" s="891">
        <f t="shared" si="4"/>
        <v>441.59999999999997</v>
      </c>
      <c r="H54" s="46"/>
      <c r="I54" s="693"/>
      <c r="J54" s="46"/>
      <c r="K54" s="893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30</v>
      </c>
      <c r="C55" s="872" cm="1">
        <f t="array" ref="C55">SUM(b2_list_vCPU*b2_list_Antal_instanser)</f>
        <v>0</v>
      </c>
      <c r="D55" s="872" cm="1">
        <f t="array" ref="D55">SUM(b2_list_ram*b2_list_vCPU)</f>
        <v>0</v>
      </c>
      <c r="E55" s="877" t="s">
        <v>94</v>
      </c>
      <c r="F55" s="872"/>
      <c r="G55" s="872"/>
      <c r="H55" s="872"/>
      <c r="I55" s="872">
        <f>SUM(I45:I54)</f>
        <v>0</v>
      </c>
      <c r="J55" s="872"/>
      <c r="K55" s="897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537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3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si="6"/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6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537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7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7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7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554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550</v>
      </c>
      <c r="M77" s="666"/>
    </row>
    <row r="78" spans="2:20" s="731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552</v>
      </c>
      <c r="H78" s="24"/>
      <c r="I78" s="730" t="s">
        <v>560</v>
      </c>
      <c r="J78" s="24"/>
      <c r="K78" s="614" t="s">
        <v>83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902">
        <f>G79/720</f>
        <v>1.5333333333333334E-4</v>
      </c>
      <c r="G79" s="903">
        <f>VOLUME_large_EUR</f>
        <v>0.1104</v>
      </c>
      <c r="H79" s="734"/>
      <c r="I79" s="735"/>
      <c r="J79" s="399"/>
      <c r="K79" s="898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904">
        <f>G80/720</f>
        <v>4.6000000000000001E-4</v>
      </c>
      <c r="G80" s="905">
        <f>VOLUME_fast_EUR</f>
        <v>0.33119999999999999</v>
      </c>
      <c r="H80" s="737"/>
      <c r="I80" s="739"/>
      <c r="J80" s="740"/>
      <c r="K80" s="899">
        <f>ROUNDUP(I80*G80,2)</f>
        <v>0</v>
      </c>
      <c r="L80" s="8"/>
      <c r="M80" s="666"/>
      <c r="T80" s="683"/>
    </row>
    <row r="81" spans="2:20" s="677" customFormat="1" ht="25" customHeight="1">
      <c r="B81" s="134" t="s">
        <v>492</v>
      </c>
      <c r="C81" s="39" t="s">
        <v>434</v>
      </c>
      <c r="D81" s="78"/>
      <c r="E81" s="78"/>
      <c r="F81" s="902">
        <f>G81/720</f>
        <v>1.5333333333333334E-4</v>
      </c>
      <c r="G81" s="903">
        <f>VOLUME_large_EUR</f>
        <v>0.1104</v>
      </c>
      <c r="H81" s="741"/>
      <c r="I81" s="735"/>
      <c r="J81" s="399"/>
      <c r="K81" s="898">
        <f>ROUNDUP(I81*G81,2)</f>
        <v>0</v>
      </c>
      <c r="L81" s="8"/>
      <c r="M81" s="666"/>
    </row>
    <row r="82" spans="2:20" s="875" customFormat="1" ht="25" customHeight="1">
      <c r="B82" s="871" t="s">
        <v>30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96">
        <f>SUM(K79:K81)</f>
        <v>0</v>
      </c>
      <c r="M82" s="666"/>
      <c r="P82" s="876"/>
      <c r="R82" s="876"/>
    </row>
    <row r="83" spans="2:20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0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0" s="4" customFormat="1" ht="25" customHeight="1">
      <c r="B85" s="940" t="s">
        <v>667</v>
      </c>
      <c r="C85" s="940"/>
      <c r="D85" s="940"/>
      <c r="E85" s="940"/>
      <c r="F85" s="940"/>
      <c r="G85" s="940"/>
      <c r="H85" s="674"/>
      <c r="J85" s="676"/>
      <c r="K85" s="835"/>
      <c r="M85" s="666"/>
    </row>
    <row r="86" spans="2:20" s="4" customFormat="1" ht="25" customHeight="1">
      <c r="B86" s="940"/>
      <c r="C86" s="940"/>
      <c r="D86" s="940"/>
      <c r="E86" s="940"/>
      <c r="F86" s="940"/>
      <c r="G86" s="940"/>
      <c r="H86" s="674"/>
      <c r="J86" s="676"/>
      <c r="K86" s="835"/>
      <c r="M86" s="666"/>
    </row>
    <row r="87" spans="2:20" s="4" customFormat="1" ht="25" customHeight="1">
      <c r="B87" s="940"/>
      <c r="C87" s="940"/>
      <c r="D87" s="940"/>
      <c r="E87" s="940"/>
      <c r="F87" s="940"/>
      <c r="G87" s="940"/>
      <c r="H87" s="674"/>
      <c r="J87" s="676"/>
      <c r="K87" s="835"/>
      <c r="M87" s="666"/>
    </row>
    <row r="88" spans="2:20" s="4" customFormat="1" ht="25" customHeight="1">
      <c r="B88" s="551" t="s">
        <v>555</v>
      </c>
      <c r="C88" s="551"/>
      <c r="D88" s="551"/>
      <c r="E88" s="551"/>
      <c r="F88" s="551"/>
      <c r="H88" s="674"/>
      <c r="J88" s="676"/>
      <c r="K88" s="835"/>
      <c r="M88" s="666"/>
    </row>
    <row r="89" spans="2:20" s="505" customFormat="1" ht="25" customHeight="1">
      <c r="B89" s="465" t="s">
        <v>556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0" s="4" customFormat="1" ht="25" customHeight="1">
      <c r="B90" s="552" t="s">
        <v>557</v>
      </c>
      <c r="C90" s="74"/>
      <c r="D90" s="74"/>
      <c r="E90" s="74"/>
      <c r="F90" s="133"/>
      <c r="G90" s="679"/>
      <c r="H90" s="680"/>
      <c r="I90" s="679"/>
      <c r="J90" s="681"/>
      <c r="K90" s="836"/>
      <c r="L90" s="748"/>
      <c r="M90" s="666"/>
      <c r="O90" s="677"/>
      <c r="P90" s="677"/>
    </row>
    <row r="91" spans="2:20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558</v>
      </c>
      <c r="H92" s="24"/>
      <c r="I92" s="730" t="s">
        <v>559</v>
      </c>
      <c r="J92" s="131"/>
      <c r="K92" s="614" t="s">
        <v>83</v>
      </c>
      <c r="L92" s="682"/>
      <c r="M92" s="666"/>
      <c r="N92" s="677"/>
    </row>
    <row r="93" spans="2:20" s="754" customFormat="1" ht="25" customHeight="1">
      <c r="B93" s="445" t="s">
        <v>534</v>
      </c>
      <c r="C93" s="78"/>
      <c r="D93" s="524"/>
      <c r="E93" s="524"/>
      <c r="F93" s="750"/>
      <c r="G93" s="906">
        <f>S3_archive.50_EUR</f>
        <v>32.200000000000003</v>
      </c>
      <c r="H93" s="750"/>
      <c r="I93" s="751"/>
      <c r="J93" s="752"/>
      <c r="K93" s="898">
        <f>I93*G93</f>
        <v>0</v>
      </c>
      <c r="L93" s="753"/>
      <c r="M93" s="666"/>
      <c r="N93" s="723"/>
    </row>
    <row r="94" spans="2:20" s="677" customFormat="1" ht="25" customHeight="1">
      <c r="B94" s="137" t="s">
        <v>493</v>
      </c>
      <c r="C94" s="41"/>
      <c r="D94" s="79"/>
      <c r="E94" s="79"/>
      <c r="F94" s="737"/>
      <c r="G94" s="901">
        <f>S3_storage50_EUR</f>
        <v>46</v>
      </c>
      <c r="H94" s="738"/>
      <c r="I94" s="755"/>
      <c r="J94" s="740"/>
      <c r="K94" s="899">
        <f>I94*G94</f>
        <v>0</v>
      </c>
      <c r="L94" s="8"/>
      <c r="M94" s="666"/>
      <c r="T94" s="683"/>
    </row>
    <row r="95" spans="2:20" s="875" customFormat="1" ht="25" customHeight="1">
      <c r="B95" s="871" t="s">
        <v>30</v>
      </c>
      <c r="C95" s="872"/>
      <c r="D95" s="872"/>
      <c r="E95" s="872"/>
      <c r="F95" s="872"/>
      <c r="G95" s="872"/>
      <c r="H95" s="872"/>
      <c r="I95" s="872"/>
      <c r="J95" s="872"/>
      <c r="K95" s="896">
        <f>SUM(K93:K94)</f>
        <v>0</v>
      </c>
      <c r="M95" s="666"/>
      <c r="P95" s="876"/>
      <c r="R95" s="876"/>
    </row>
    <row r="96" spans="2:20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26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26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26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26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26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26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26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26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26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26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26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26" s="4" customFormat="1" ht="25" customHeight="1">
      <c r="B108" s="940" t="s">
        <v>668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26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26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26" s="4" customFormat="1" ht="25" customHeight="1">
      <c r="B111" s="551" t="s">
        <v>535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79"/>
      <c r="H112" s="680"/>
      <c r="J112" s="681"/>
      <c r="K112" s="836"/>
      <c r="L112" s="682"/>
      <c r="M112" s="666"/>
      <c r="S112" s="677"/>
      <c r="T112" s="677"/>
      <c r="U112" s="677"/>
      <c r="V112" s="677"/>
      <c r="W112" s="677"/>
      <c r="X112" s="677"/>
      <c r="Y112" s="677"/>
      <c r="Z112" s="677"/>
    </row>
    <row r="113" spans="2:32" s="4" customFormat="1" ht="25" customHeight="1">
      <c r="B113" s="552" t="s">
        <v>557</v>
      </c>
      <c r="C113" s="74"/>
      <c r="D113" s="74"/>
      <c r="E113" s="74"/>
      <c r="F113" s="133"/>
      <c r="G113" s="679"/>
      <c r="H113" s="680"/>
      <c r="I113" s="679"/>
      <c r="J113" s="681"/>
      <c r="K113" s="836"/>
      <c r="L113" s="748"/>
      <c r="M113" s="666"/>
      <c r="O113" s="677"/>
      <c r="P113" s="677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9</v>
      </c>
      <c r="C115" s="771"/>
      <c r="D115" s="771"/>
      <c r="E115" s="131" t="s">
        <v>561</v>
      </c>
      <c r="F115" s="771"/>
      <c r="G115" s="131" t="s">
        <v>562</v>
      </c>
      <c r="H115" s="24"/>
      <c r="I115" s="730" t="s">
        <v>560</v>
      </c>
      <c r="J115" s="730" t="s">
        <v>563</v>
      </c>
      <c r="K115" s="614" t="s">
        <v>603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907">
        <f>BAAS_on.demand_EUR</f>
        <v>0.22540000000000002</v>
      </c>
      <c r="H116" s="399"/>
      <c r="I116" s="751"/>
      <c r="J116" s="879" t="s">
        <v>94</v>
      </c>
      <c r="K116" s="898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915">
        <f>BAAS_small.fee_EUR</f>
        <v>506</v>
      </c>
      <c r="F117" s="740"/>
      <c r="G117" s="908">
        <f>BAAS_small_EUR</f>
        <v>0.161</v>
      </c>
      <c r="H117" s="740"/>
      <c r="I117" s="767"/>
      <c r="J117" s="768">
        <v>0.75</v>
      </c>
      <c r="K117" s="899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916">
        <f>BAAS_large.fee_EUR</f>
        <v>874</v>
      </c>
      <c r="F118" s="759"/>
      <c r="G118" s="907">
        <f>BAAS_large_EUR</f>
        <v>8.4640000000000007E-2</v>
      </c>
      <c r="H118" s="759"/>
      <c r="I118" s="758"/>
      <c r="J118" s="770">
        <v>0.75</v>
      </c>
      <c r="K118" s="582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30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96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568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465" t="s">
        <v>661</v>
      </c>
      <c r="C127" s="465"/>
      <c r="D127" s="465"/>
      <c r="E127" s="465"/>
      <c r="F127" s="465"/>
      <c r="G127" s="679"/>
      <c r="H127" s="680"/>
      <c r="J127" s="681"/>
      <c r="K127" s="836"/>
      <c r="L127" s="682"/>
      <c r="M127" s="666"/>
      <c r="S127" s="677"/>
      <c r="T127" s="677"/>
      <c r="U127" s="677"/>
      <c r="V127" s="677"/>
      <c r="W127" s="677"/>
      <c r="X127" s="677"/>
      <c r="Y127" s="677"/>
      <c r="Z127" s="677"/>
    </row>
    <row r="128" spans="2:32" s="4" customFormat="1" ht="25" hidden="1" customHeight="1">
      <c r="B128" s="552" t="s">
        <v>557</v>
      </c>
      <c r="C128" s="74"/>
      <c r="D128" s="74"/>
      <c r="E128" s="74"/>
      <c r="F128" s="133"/>
      <c r="G128" s="679"/>
      <c r="H128" s="680"/>
      <c r="I128" s="679"/>
      <c r="J128" s="681"/>
      <c r="K128" s="836"/>
      <c r="L128" s="748"/>
      <c r="M128" s="666"/>
      <c r="O128" s="677"/>
      <c r="P128" s="677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9</v>
      </c>
      <c r="C130" s="941" t="s">
        <v>569</v>
      </c>
      <c r="D130" s="941"/>
      <c r="E130" s="941" t="s">
        <v>570</v>
      </c>
      <c r="F130" s="941"/>
      <c r="G130" s="963" t="s">
        <v>561</v>
      </c>
      <c r="H130" s="963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573</v>
      </c>
      <c r="F131" s="949"/>
      <c r="G131" s="913" t="str">
        <f>PAAS_man.kubernetes_EUR</f>
        <v xml:space="preserve"> Requests for quotation </v>
      </c>
      <c r="H131" s="911"/>
      <c r="I131" s="751"/>
      <c r="J131" s="929">
        <v>1</v>
      </c>
      <c r="K131" s="909" t="str">
        <f>IF(J131=1,G131," ")</f>
        <v xml:space="preserve"> Requests for quotation </v>
      </c>
      <c r="L131" s="724"/>
      <c r="M131" s="666"/>
    </row>
    <row r="132" spans="2:32" ht="25" hidden="1" customHeight="1">
      <c r="B132" s="137" t="s">
        <v>498</v>
      </c>
      <c r="C132" s="948" t="s">
        <v>571</v>
      </c>
      <c r="D132" s="948"/>
      <c r="E132" s="950" t="s">
        <v>572</v>
      </c>
      <c r="F132" s="950"/>
      <c r="G132" s="914" t="str">
        <f>PAAS_man.kubernetes8_EUR</f>
        <v>Requests for quotation</v>
      </c>
      <c r="H132" s="912"/>
      <c r="I132" s="755"/>
      <c r="J132" s="740"/>
      <c r="K132" s="910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30</v>
      </c>
      <c r="C133" s="872"/>
      <c r="D133" s="872"/>
      <c r="E133" s="872"/>
      <c r="F133" s="872"/>
      <c r="G133" s="872"/>
      <c r="H133" s="872"/>
      <c r="I133" s="928"/>
      <c r="J133" s="872"/>
      <c r="K133" s="896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100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79"/>
      <c r="H140" s="680"/>
      <c r="J140" s="681"/>
      <c r="K140" s="836"/>
      <c r="L140" s="682"/>
      <c r="M140" s="666"/>
      <c r="S140" s="677"/>
      <c r="T140" s="677"/>
      <c r="U140" s="677"/>
      <c r="V140" s="677"/>
      <c r="W140" s="677"/>
      <c r="X140" s="677"/>
      <c r="Y140" s="677"/>
      <c r="Z140" s="677"/>
    </row>
    <row r="141" spans="2:32" s="4" customFormat="1" ht="25" customHeight="1">
      <c r="B141" s="465"/>
      <c r="C141" s="133"/>
      <c r="D141" s="133"/>
      <c r="E141" s="133"/>
      <c r="F141" s="133"/>
      <c r="G141" s="679"/>
      <c r="H141" s="680"/>
      <c r="I141" s="679"/>
      <c r="J141" s="681"/>
      <c r="K141" s="836"/>
      <c r="L141" s="679"/>
      <c r="M141" s="666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79"/>
      <c r="H142" s="679"/>
      <c r="I142" s="679"/>
      <c r="J142" s="681"/>
      <c r="K142" s="836"/>
      <c r="L142" s="679"/>
      <c r="M142" s="666"/>
      <c r="N142" s="677"/>
      <c r="O142" s="677"/>
      <c r="P142" s="677"/>
      <c r="Q142" s="677"/>
      <c r="R142" s="677"/>
      <c r="S142" s="677"/>
    </row>
    <row r="143" spans="2:32" ht="25" customHeight="1">
      <c r="B143" s="630" t="s">
        <v>575</v>
      </c>
      <c r="M143" s="666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576</v>
      </c>
      <c r="K144" s="614" t="s">
        <v>14</v>
      </c>
      <c r="L144" s="13"/>
      <c r="M144" s="666"/>
      <c r="N144" s="744"/>
      <c r="O144" s="8"/>
    </row>
    <row r="145" spans="2:18" ht="25" customHeight="1">
      <c r="B145" s="134" t="s">
        <v>499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2" t="s">
        <v>577</v>
      </c>
      <c r="K145" s="917">
        <f>NET_publicv4_EUR</f>
        <v>2.2999999999999998</v>
      </c>
      <c r="M145" s="666"/>
      <c r="N145" s="744"/>
      <c r="O145" s="8"/>
    </row>
    <row r="146" spans="2:18" ht="25" customHeight="1">
      <c r="B146" s="137" t="s">
        <v>500</v>
      </c>
      <c r="C146" s="130" t="s">
        <v>109</v>
      </c>
      <c r="D146" s="130"/>
      <c r="E146" s="41" t="s">
        <v>106</v>
      </c>
      <c r="F146" s="773"/>
      <c r="G146" s="773"/>
      <c r="H146" s="773"/>
      <c r="I146" s="773"/>
      <c r="J146" s="774" t="s">
        <v>94</v>
      </c>
      <c r="K146" s="918">
        <f>NET_publicv6_EUR</f>
        <v>0</v>
      </c>
      <c r="M146" s="666"/>
      <c r="N146" s="744"/>
      <c r="O146" s="8"/>
    </row>
    <row r="147" spans="2:18" ht="25" customHeight="1">
      <c r="B147" s="134" t="s">
        <v>501</v>
      </c>
      <c r="C147" s="129" t="s">
        <v>111</v>
      </c>
      <c r="D147" s="129"/>
      <c r="E147" s="148"/>
      <c r="F147" s="37"/>
      <c r="G147" s="37"/>
      <c r="H147" s="37"/>
      <c r="I147" s="37"/>
      <c r="J147" s="772" t="s">
        <v>69</v>
      </c>
      <c r="K147" s="917">
        <f>NET_ingress_EUR</f>
        <v>0</v>
      </c>
      <c r="M147" s="666"/>
      <c r="N147" s="744"/>
      <c r="O147" s="8"/>
    </row>
    <row r="148" spans="2:18" ht="25" customHeight="1">
      <c r="B148" s="137" t="s">
        <v>502</v>
      </c>
      <c r="C148" s="130" t="s">
        <v>111</v>
      </c>
      <c r="D148" s="130"/>
      <c r="E148" s="41" t="s">
        <v>579</v>
      </c>
      <c r="F148" s="773"/>
      <c r="G148" s="773"/>
      <c r="H148" s="773"/>
      <c r="I148" s="773"/>
      <c r="J148" s="775" t="s">
        <v>69</v>
      </c>
      <c r="K148" s="918">
        <f>NET_egress_EUR</f>
        <v>2.3E-2</v>
      </c>
      <c r="M148" s="666"/>
      <c r="N148" s="744"/>
      <c r="O148" s="8"/>
    </row>
    <row r="149" spans="2:18" ht="25" customHeight="1">
      <c r="B149" s="134" t="s">
        <v>503</v>
      </c>
      <c r="C149" s="129" t="s">
        <v>115</v>
      </c>
      <c r="D149" s="129"/>
      <c r="E149" s="30" t="s">
        <v>578</v>
      </c>
      <c r="F149" s="37"/>
      <c r="G149" s="37"/>
      <c r="H149" s="37"/>
      <c r="I149" s="37"/>
      <c r="J149" s="772" t="s">
        <v>116</v>
      </c>
      <c r="K149" s="900" t="str">
        <f>NET_mgn.slb_EUR</f>
        <v>Request a quote</v>
      </c>
      <c r="M149" s="666"/>
    </row>
    <row r="150" spans="2:18" ht="25" customHeight="1">
      <c r="B150" s="137" t="s">
        <v>504</v>
      </c>
      <c r="C150" s="130" t="s">
        <v>118</v>
      </c>
      <c r="D150" s="130"/>
      <c r="E150" s="41"/>
      <c r="F150" s="773"/>
      <c r="G150" s="773"/>
      <c r="H150" s="773"/>
      <c r="I150" s="773"/>
      <c r="J150" s="774" t="s">
        <v>94</v>
      </c>
      <c r="K150" s="918">
        <f>NET_rdns_EUR</f>
        <v>0</v>
      </c>
      <c r="M150" s="666"/>
      <c r="N150" s="744"/>
      <c r="O150" s="8"/>
    </row>
    <row r="151" spans="2:18" ht="25" customHeight="1">
      <c r="B151" s="134" t="s">
        <v>505</v>
      </c>
      <c r="C151" s="129" t="s">
        <v>121</v>
      </c>
      <c r="D151" s="129"/>
      <c r="E151" s="30"/>
      <c r="F151" s="37"/>
      <c r="G151" s="37"/>
      <c r="H151" s="37"/>
      <c r="I151" s="37"/>
      <c r="J151" s="777" t="s">
        <v>94</v>
      </c>
      <c r="K151" s="917">
        <v>0</v>
      </c>
      <c r="M151" s="666"/>
      <c r="N151" s="744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58"/>
      <c r="M152" s="666"/>
      <c r="N152" s="744"/>
      <c r="O152" s="8"/>
    </row>
    <row r="153" spans="2:18" ht="25" customHeight="1">
      <c r="C153" s="43"/>
      <c r="J153" s="43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B155" s="651" t="s">
        <v>580</v>
      </c>
      <c r="C155" s="13"/>
      <c r="D155" s="13"/>
      <c r="E155" s="13"/>
      <c r="F155" s="13"/>
      <c r="G155" s="13"/>
      <c r="H155" s="13"/>
      <c r="I155" s="13"/>
      <c r="J155" s="778"/>
      <c r="M155" s="666"/>
      <c r="N155" s="744"/>
      <c r="O155" s="8"/>
    </row>
    <row r="156" spans="2:18" ht="25" customHeight="1">
      <c r="B156" s="630" t="s">
        <v>581</v>
      </c>
      <c r="M156" s="666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576</v>
      </c>
      <c r="K157" s="614" t="s">
        <v>14</v>
      </c>
      <c r="M157" s="666"/>
      <c r="N157" s="744"/>
      <c r="O157" s="8"/>
    </row>
    <row r="158" spans="2:18" ht="25" customHeight="1">
      <c r="B158" s="134" t="s">
        <v>506</v>
      </c>
      <c r="C158" s="129"/>
      <c r="D158" s="30"/>
      <c r="E158" s="30" t="s">
        <v>123</v>
      </c>
      <c r="F158" s="30"/>
      <c r="G158" s="30"/>
      <c r="H158" s="30"/>
      <c r="I158" s="30"/>
      <c r="J158" s="772" t="s">
        <v>10</v>
      </c>
      <c r="K158" s="898">
        <f>SW_win.ser.201X_EUR</f>
        <v>7.1760000000000002</v>
      </c>
      <c r="L158" s="742"/>
      <c r="M158" s="666"/>
      <c r="N158" s="744"/>
      <c r="O158" s="8"/>
      <c r="Q158" s="677"/>
      <c r="R158" s="677"/>
    </row>
    <row r="159" spans="2:18" ht="25" customHeight="1">
      <c r="B159" s="137" t="s">
        <v>507</v>
      </c>
      <c r="C159" s="130"/>
      <c r="D159" s="38"/>
      <c r="E159" s="38" t="s">
        <v>125</v>
      </c>
      <c r="F159" s="773"/>
      <c r="G159" s="773"/>
      <c r="H159" s="773"/>
      <c r="I159" s="773"/>
      <c r="J159" s="775" t="s">
        <v>10</v>
      </c>
      <c r="K159" s="899">
        <f>SW_win.ser.201X_EUR</f>
        <v>7.1760000000000002</v>
      </c>
      <c r="L159" s="742"/>
      <c r="M159" s="666"/>
      <c r="N159" s="744"/>
      <c r="O159" s="8"/>
      <c r="Q159" s="677"/>
      <c r="R159" s="677"/>
    </row>
    <row r="160" spans="2:18" ht="25" customHeight="1">
      <c r="B160" s="134" t="s">
        <v>663</v>
      </c>
      <c r="C160" s="129"/>
      <c r="D160" s="30"/>
      <c r="E160" s="30" t="s">
        <v>664</v>
      </c>
      <c r="F160" s="30"/>
      <c r="G160" s="30"/>
      <c r="H160" s="30"/>
      <c r="I160" s="30"/>
      <c r="J160" s="772" t="s">
        <v>10</v>
      </c>
      <c r="K160" s="898">
        <f>SW_win.ser.201X_EUR</f>
        <v>7.1760000000000002</v>
      </c>
      <c r="L160" s="742"/>
      <c r="M160" s="666"/>
      <c r="N160" s="744"/>
      <c r="O160" s="8"/>
      <c r="Q160" s="677"/>
      <c r="R160" s="677"/>
    </row>
    <row r="161" spans="2:18" s="4" customFormat="1" ht="25" customHeight="1">
      <c r="B161" s="137" t="s">
        <v>508</v>
      </c>
      <c r="C161" s="130"/>
      <c r="D161" s="38"/>
      <c r="E161" s="38" t="s">
        <v>417</v>
      </c>
      <c r="F161" s="773"/>
      <c r="G161" s="773"/>
      <c r="H161" s="773"/>
      <c r="I161" s="773"/>
      <c r="J161" s="775" t="s">
        <v>10</v>
      </c>
      <c r="K161" s="899">
        <f>SW_ms.sql.ser_EUR</f>
        <v>137.816</v>
      </c>
      <c r="M161" s="666"/>
      <c r="N161" s="744"/>
      <c r="O161" s="8"/>
    </row>
    <row r="162" spans="2:18" ht="25" customHeight="1">
      <c r="B162" s="134" t="s">
        <v>509</v>
      </c>
      <c r="C162" s="129"/>
      <c r="D162" s="30"/>
      <c r="E162" s="30" t="s">
        <v>131</v>
      </c>
      <c r="F162" s="30"/>
      <c r="G162" s="30"/>
      <c r="H162" s="30"/>
      <c r="I162" s="30"/>
      <c r="J162" s="772" t="s">
        <v>94</v>
      </c>
      <c r="K162" s="932" t="str">
        <f>SW_nextcloud_EUR</f>
        <v>Request a quote</v>
      </c>
      <c r="L162" s="742"/>
      <c r="M162" s="666"/>
      <c r="N162" s="744"/>
      <c r="O162" s="8"/>
      <c r="Q162" s="677"/>
      <c r="R162" s="677"/>
    </row>
    <row r="163" spans="2:18" s="4" customFormat="1" ht="25" customHeight="1">
      <c r="B163" s="137" t="s">
        <v>510</v>
      </c>
      <c r="C163" s="130"/>
      <c r="D163" s="38"/>
      <c r="E163" s="38" t="s">
        <v>133</v>
      </c>
      <c r="F163" s="773"/>
      <c r="G163" s="773"/>
      <c r="H163" s="773"/>
      <c r="I163" s="773"/>
      <c r="J163" s="775" t="s">
        <v>94</v>
      </c>
      <c r="K163" s="933" t="str">
        <f>SW_suse_EUR</f>
        <v>Request a quote</v>
      </c>
      <c r="M163" s="666"/>
      <c r="N163" s="744"/>
      <c r="O163" s="8"/>
    </row>
    <row r="164" spans="2:18" ht="25" customHeight="1">
      <c r="B164" s="134" t="s">
        <v>511</v>
      </c>
      <c r="C164" s="129"/>
      <c r="D164" s="30"/>
      <c r="E164" s="30" t="s">
        <v>135</v>
      </c>
      <c r="F164" s="30"/>
      <c r="G164" s="30"/>
      <c r="H164" s="30"/>
      <c r="I164" s="30"/>
      <c r="J164" s="772" t="s">
        <v>94</v>
      </c>
      <c r="K164" s="932" t="str">
        <f>SW_cluster.control_EUR</f>
        <v>3x instance price</v>
      </c>
      <c r="M164" s="666"/>
      <c r="N164" s="744"/>
      <c r="O164" s="8"/>
    </row>
    <row r="165" spans="2:18" ht="25" customHeight="1">
      <c r="B165" s="137" t="s">
        <v>512</v>
      </c>
      <c r="C165" s="130"/>
      <c r="D165" s="38"/>
      <c r="E165" s="38" t="s">
        <v>137</v>
      </c>
      <c r="F165" s="773"/>
      <c r="G165" s="773"/>
      <c r="H165" s="773"/>
      <c r="I165" s="773"/>
      <c r="J165" s="775" t="s">
        <v>140</v>
      </c>
      <c r="K165" s="899">
        <f>SW_backup.ninja_EUR</f>
        <v>36.799999999999997</v>
      </c>
      <c r="M165" s="666"/>
      <c r="N165" s="744"/>
      <c r="O165" s="8"/>
    </row>
    <row r="166" spans="2:18" ht="25" customHeight="1">
      <c r="B166" s="106"/>
      <c r="C166" s="103"/>
      <c r="D166" s="104"/>
      <c r="E166" s="105"/>
      <c r="F166" s="779"/>
      <c r="G166" s="779"/>
      <c r="H166" s="779"/>
      <c r="I166" s="779"/>
      <c r="J166" s="780"/>
      <c r="K166" s="859"/>
      <c r="M166" s="666"/>
      <c r="N166" s="744"/>
      <c r="O166" s="8"/>
    </row>
    <row r="167" spans="2:18" ht="25" customHeight="1">
      <c r="B167" s="137"/>
      <c r="C167" s="130"/>
      <c r="D167" s="41"/>
      <c r="E167" s="31"/>
      <c r="F167" s="773"/>
      <c r="G167" s="773"/>
      <c r="H167" s="773"/>
      <c r="I167" s="773"/>
      <c r="J167" s="781"/>
      <c r="K167" s="556"/>
      <c r="M167" s="666"/>
      <c r="N167" s="744"/>
      <c r="O167" s="8"/>
    </row>
    <row r="168" spans="2:18" ht="25" customHeight="1">
      <c r="M168" s="666"/>
      <c r="N168" s="744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66"/>
      <c r="N169" s="744"/>
      <c r="O169" s="8"/>
    </row>
    <row r="170" spans="2:18" ht="25" customHeight="1">
      <c r="B170" s="630" t="s">
        <v>582</v>
      </c>
      <c r="M170" s="666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66"/>
      <c r="N171" s="744"/>
      <c r="O171" s="8"/>
    </row>
    <row r="172" spans="2:18" ht="25" customHeight="1">
      <c r="B172" s="134" t="s">
        <v>498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19" t="str">
        <f>PAAS_man.kubernetes_EUR</f>
        <v xml:space="preserve"> Requests for quotation </v>
      </c>
      <c r="M172" s="666"/>
      <c r="N172" s="744"/>
      <c r="O172" s="8"/>
    </row>
    <row r="173" spans="2:18" ht="25" customHeight="1">
      <c r="B173" s="137" t="s">
        <v>513</v>
      </c>
      <c r="C173" s="130"/>
      <c r="D173" s="38"/>
      <c r="E173" s="38" t="s">
        <v>415</v>
      </c>
      <c r="F173" s="773"/>
      <c r="G173" s="773"/>
      <c r="H173" s="773"/>
      <c r="I173" s="773"/>
      <c r="J173" s="781"/>
      <c r="K173" s="899" t="str">
        <f>PAAS_man.postgres.sql_EUR</f>
        <v>Requests for quotation</v>
      </c>
      <c r="M173" s="666"/>
      <c r="N173" s="744"/>
      <c r="O173" s="8"/>
    </row>
    <row r="174" spans="2:18" ht="25" customHeight="1">
      <c r="B174" s="134" t="s">
        <v>514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898" t="str">
        <f>PAAS_man.elasticsearch_EUR</f>
        <v>Requests for quotation</v>
      </c>
      <c r="M174" s="666"/>
      <c r="N174" s="744"/>
      <c r="O174" s="8"/>
    </row>
    <row r="175" spans="2:18" ht="25" customHeight="1">
      <c r="B175" s="137" t="s">
        <v>515</v>
      </c>
      <c r="C175" s="130"/>
      <c r="D175" s="38"/>
      <c r="E175" s="38" t="s">
        <v>583</v>
      </c>
      <c r="F175" s="773"/>
      <c r="G175" s="773"/>
      <c r="H175" s="773"/>
      <c r="I175" s="773"/>
      <c r="J175" s="781"/>
      <c r="K175" s="899">
        <f>PAAS_openshift_EUR</f>
        <v>0</v>
      </c>
      <c r="M175" s="666"/>
      <c r="N175" s="744"/>
      <c r="O175" s="8"/>
    </row>
    <row r="176" spans="2:18" ht="25" customHeight="1">
      <c r="B176" s="134" t="s">
        <v>516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98" t="str">
        <f>PAAS_man.nats_EUR</f>
        <v>Requests for quotation</v>
      </c>
      <c r="M176" s="666"/>
      <c r="N176" s="744"/>
      <c r="O176" s="8"/>
    </row>
    <row r="177" spans="2:20" ht="25" customHeight="1">
      <c r="B177" s="137" t="s">
        <v>517</v>
      </c>
      <c r="C177" s="130"/>
      <c r="D177" s="38"/>
      <c r="E177" s="38" t="s">
        <v>150</v>
      </c>
      <c r="F177" s="773"/>
      <c r="G177" s="773"/>
      <c r="H177" s="773"/>
      <c r="I177" s="773"/>
      <c r="J177" s="781"/>
      <c r="K177" s="899" t="str">
        <f>PAAS_man.mariadb_EUR</f>
        <v>Requests for quotation</v>
      </c>
      <c r="M177" s="666"/>
      <c r="N177" s="744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98" t="str">
        <f>PAAS_man.redis_EUR</f>
        <v>Requests for quotation</v>
      </c>
      <c r="M178" s="666"/>
      <c r="N178" s="744"/>
      <c r="O178" s="8"/>
    </row>
    <row r="179" spans="2:20" ht="25" customHeight="1">
      <c r="B179" s="106"/>
      <c r="C179" s="103"/>
      <c r="D179" s="397"/>
      <c r="E179" s="105"/>
      <c r="F179" s="779"/>
      <c r="G179" s="779"/>
      <c r="H179" s="779"/>
      <c r="I179" s="779"/>
      <c r="J179" s="780"/>
      <c r="K179" s="859"/>
      <c r="M179" s="666"/>
      <c r="N179" s="744"/>
      <c r="O179" s="8"/>
    </row>
    <row r="180" spans="2:20" ht="25" customHeight="1">
      <c r="B180" s="137"/>
      <c r="C180" s="130"/>
      <c r="D180" s="38"/>
      <c r="E180" s="31"/>
      <c r="F180" s="773"/>
      <c r="G180" s="781"/>
      <c r="H180" s="775"/>
      <c r="I180" s="441"/>
      <c r="M180" s="666"/>
    </row>
    <row r="181" spans="2:20" ht="25" customHeight="1">
      <c r="B181" s="417"/>
      <c r="C181" s="26"/>
      <c r="D181" s="26"/>
      <c r="E181" s="26"/>
      <c r="F181" s="762"/>
      <c r="G181" s="763"/>
      <c r="H181" s="26"/>
      <c r="I181" s="742"/>
      <c r="J181" s="742"/>
      <c r="K181" s="848"/>
      <c r="L181" s="744"/>
      <c r="M181" s="666"/>
      <c r="N181" s="677"/>
      <c r="O181" s="677"/>
    </row>
    <row r="182" spans="2:20" s="4" customFormat="1" ht="25" customHeight="1">
      <c r="B182" s="940" t="s">
        <v>584</v>
      </c>
      <c r="C182" s="940"/>
      <c r="D182" s="940"/>
      <c r="E182" s="940"/>
      <c r="F182" s="940"/>
      <c r="G182" s="940"/>
      <c r="H182" s="782"/>
      <c r="J182" s="676"/>
      <c r="K182" s="835"/>
      <c r="M182" s="666"/>
    </row>
    <row r="183" spans="2:20" s="4" customFormat="1" ht="25" customHeight="1">
      <c r="B183" s="940"/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61" t="s">
        <v>585</v>
      </c>
      <c r="C185" s="961"/>
      <c r="D185" s="961"/>
      <c r="E185" s="961"/>
      <c r="F185" s="961"/>
      <c r="H185" s="782"/>
      <c r="J185" s="676"/>
      <c r="K185" s="835"/>
      <c r="M185" s="666"/>
    </row>
    <row r="186" spans="2:20" s="4" customFormat="1" ht="25" customHeight="1">
      <c r="B186" s="956" t="s">
        <v>586</v>
      </c>
      <c r="C186" s="956"/>
      <c r="D186" s="956"/>
      <c r="E186" s="956"/>
      <c r="F186" s="956"/>
      <c r="G186" s="679"/>
      <c r="H186" s="680"/>
      <c r="I186" s="679"/>
      <c r="J186" s="681"/>
      <c r="K186" s="836"/>
      <c r="L186" s="679"/>
      <c r="M186" s="666"/>
    </row>
    <row r="187" spans="2:20" s="4" customFormat="1" ht="25" customHeight="1">
      <c r="B187" s="465"/>
      <c r="C187" s="133"/>
      <c r="D187" s="133"/>
      <c r="E187" s="133"/>
      <c r="F187" s="133"/>
      <c r="G187" s="679"/>
      <c r="H187" s="680"/>
      <c r="I187" s="679"/>
      <c r="J187" s="681"/>
      <c r="K187" s="836"/>
      <c r="L187" s="679"/>
      <c r="M187" s="666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0"/>
      <c r="L188" s="13"/>
      <c r="M188" s="666"/>
      <c r="O188" s="744"/>
      <c r="P188" s="744"/>
      <c r="Q188" s="8"/>
      <c r="S188" s="677"/>
      <c r="T188" s="677"/>
    </row>
    <row r="189" spans="2:20" ht="25" customHeight="1">
      <c r="B189" s="630" t="s">
        <v>587</v>
      </c>
      <c r="M189" s="666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576</v>
      </c>
      <c r="J190" s="23"/>
      <c r="K190" s="614" t="s">
        <v>14</v>
      </c>
      <c r="L190" s="742"/>
      <c r="M190" s="666"/>
      <c r="N190" s="744"/>
      <c r="O190" s="8"/>
      <c r="Q190" s="677"/>
      <c r="R190" s="677"/>
    </row>
    <row r="191" spans="2:20" ht="25" customHeight="1">
      <c r="B191" s="134" t="s">
        <v>518</v>
      </c>
      <c r="C191" s="129"/>
      <c r="D191" s="30" t="s">
        <v>588</v>
      </c>
      <c r="E191" s="40"/>
      <c r="F191" s="30"/>
      <c r="G191" s="40"/>
      <c r="H191" s="40"/>
      <c r="I191" s="777" t="s">
        <v>604</v>
      </c>
      <c r="J191" s="777"/>
      <c r="K191" s="898">
        <v>0</v>
      </c>
      <c r="L191" s="742"/>
      <c r="M191" s="666"/>
      <c r="N191" s="744"/>
      <c r="O191" s="8"/>
      <c r="Q191" s="677"/>
      <c r="R191" s="677"/>
    </row>
    <row r="192" spans="2:20" ht="25" customHeight="1">
      <c r="B192" s="137" t="s">
        <v>519</v>
      </c>
      <c r="C192" s="130"/>
      <c r="D192" s="38" t="s">
        <v>156</v>
      </c>
      <c r="E192" s="31"/>
      <c r="F192" s="773"/>
      <c r="G192" s="781"/>
      <c r="H192" s="781"/>
      <c r="I192" s="775" t="s">
        <v>157</v>
      </c>
      <c r="J192" s="775"/>
      <c r="K192" s="556" t="s">
        <v>589</v>
      </c>
      <c r="L192" s="742"/>
      <c r="M192" s="666"/>
      <c r="N192" s="744"/>
      <c r="O192" s="8"/>
      <c r="Q192" s="677"/>
      <c r="R192" s="677"/>
    </row>
    <row r="193" spans="2:18" ht="25" customHeight="1">
      <c r="B193" s="134" t="s">
        <v>520</v>
      </c>
      <c r="C193" s="129"/>
      <c r="D193" s="30" t="s">
        <v>160</v>
      </c>
      <c r="E193" s="129"/>
      <c r="F193" s="129"/>
      <c r="G193" s="129"/>
      <c r="H193" s="40"/>
      <c r="I193" s="772" t="s">
        <v>161</v>
      </c>
      <c r="J193" s="772"/>
      <c r="K193" s="557" t="s">
        <v>590</v>
      </c>
      <c r="L193" s="742"/>
      <c r="M193" s="666"/>
      <c r="N193" s="744"/>
      <c r="O193" s="8"/>
      <c r="Q193" s="677"/>
      <c r="R193" s="677"/>
    </row>
    <row r="194" spans="2:18" ht="25" customHeight="1">
      <c r="B194" s="106"/>
      <c r="C194" s="103"/>
      <c r="D194" s="103"/>
      <c r="E194" s="105"/>
      <c r="F194" s="779"/>
      <c r="G194" s="780"/>
      <c r="H194" s="780"/>
      <c r="I194" s="783"/>
      <c r="J194" s="783"/>
      <c r="K194" s="859"/>
      <c r="L194" s="742"/>
      <c r="M194" s="666"/>
      <c r="N194" s="744"/>
      <c r="O194" s="8"/>
      <c r="Q194" s="677"/>
      <c r="R194" s="677"/>
    </row>
    <row r="195" spans="2:18" ht="25" customHeight="1">
      <c r="B195" s="137"/>
      <c r="C195" s="130"/>
      <c r="D195" s="38"/>
      <c r="E195" s="31"/>
      <c r="F195" s="773"/>
      <c r="G195" s="781"/>
      <c r="H195" s="781"/>
      <c r="I195" s="775"/>
      <c r="J195" s="775"/>
      <c r="K195" s="556"/>
      <c r="L195" s="742"/>
      <c r="M195" s="666"/>
      <c r="N195" s="744"/>
      <c r="O195" s="8"/>
      <c r="Q195" s="677"/>
      <c r="R195" s="677"/>
    </row>
    <row r="196" spans="2:18" s="653" customFormat="1" ht="25" customHeight="1">
      <c r="B196" s="651" t="s">
        <v>591</v>
      </c>
      <c r="C196" s="880"/>
      <c r="D196" s="880"/>
      <c r="F196" s="880"/>
      <c r="G196" s="880"/>
      <c r="H196" s="880"/>
      <c r="I196" s="881"/>
      <c r="J196" s="881"/>
      <c r="K196" s="706"/>
      <c r="L196" s="882"/>
      <c r="M196" s="666"/>
      <c r="N196" s="883"/>
      <c r="O196" s="884"/>
      <c r="Q196" s="884"/>
      <c r="R196" s="884"/>
    </row>
    <row r="197" spans="2:18" ht="25" customHeight="1">
      <c r="B197" s="630" t="s">
        <v>592</v>
      </c>
      <c r="M197" s="666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576</v>
      </c>
      <c r="J198" s="23"/>
      <c r="K198" s="614" t="s">
        <v>14</v>
      </c>
      <c r="L198" s="742"/>
      <c r="M198" s="666"/>
      <c r="N198" s="744"/>
      <c r="O198" s="8"/>
      <c r="Q198" s="677"/>
      <c r="R198" s="677"/>
    </row>
    <row r="199" spans="2:18" ht="25" customHeight="1">
      <c r="B199" s="134" t="s">
        <v>521</v>
      </c>
      <c r="C199" s="129"/>
      <c r="D199" s="30" t="s">
        <v>166</v>
      </c>
      <c r="E199" s="40"/>
      <c r="F199" s="30"/>
      <c r="G199" s="40"/>
      <c r="H199" s="40"/>
      <c r="I199" s="772" t="s">
        <v>161</v>
      </c>
      <c r="J199" s="772"/>
      <c r="K199" s="898">
        <f>PS_consult.jun_EUR</f>
        <v>103.684</v>
      </c>
      <c r="L199" s="742"/>
      <c r="M199" s="666"/>
      <c r="N199" s="744"/>
      <c r="O199" s="8"/>
      <c r="Q199" s="677"/>
      <c r="R199" s="677"/>
    </row>
    <row r="200" spans="2:18" ht="25" customHeight="1">
      <c r="B200" s="137" t="s">
        <v>522</v>
      </c>
      <c r="C200" s="130"/>
      <c r="D200" s="38" t="s">
        <v>168</v>
      </c>
      <c r="E200" s="31"/>
      <c r="F200" s="773"/>
      <c r="G200" s="781"/>
      <c r="H200" s="781"/>
      <c r="I200" s="775" t="s">
        <v>161</v>
      </c>
      <c r="J200" s="775"/>
      <c r="K200" s="899">
        <f>PS_consult.sen_EUR</f>
        <v>126.408</v>
      </c>
      <c r="L200" s="742"/>
      <c r="M200" s="666"/>
      <c r="N200" s="744"/>
      <c r="O200" s="8"/>
      <c r="Q200" s="677"/>
      <c r="R200" s="677"/>
    </row>
    <row r="201" spans="2:18" ht="25" customHeight="1">
      <c r="B201" s="134" t="s">
        <v>523</v>
      </c>
      <c r="C201" s="129"/>
      <c r="D201" s="30" t="s">
        <v>170</v>
      </c>
      <c r="E201" s="40"/>
      <c r="F201" s="30"/>
      <c r="G201" s="40"/>
      <c r="H201" s="40"/>
      <c r="I201" s="772" t="s">
        <v>161</v>
      </c>
      <c r="J201" s="772"/>
      <c r="K201" s="898">
        <f>PS_cloudarch.jun_EUR</f>
        <v>117.48399999999999</v>
      </c>
      <c r="L201" s="742"/>
      <c r="M201" s="666"/>
      <c r="N201" s="744"/>
      <c r="O201" s="8"/>
      <c r="Q201" s="677"/>
      <c r="R201" s="677"/>
    </row>
    <row r="202" spans="2:18" ht="25" customHeight="1">
      <c r="B202" s="137" t="s">
        <v>524</v>
      </c>
      <c r="C202" s="130"/>
      <c r="D202" s="38" t="s">
        <v>172</v>
      </c>
      <c r="E202" s="38"/>
      <c r="F202" s="38"/>
      <c r="G202" s="781"/>
      <c r="H202" s="781"/>
      <c r="I202" s="775" t="s">
        <v>161</v>
      </c>
      <c r="J202" s="775"/>
      <c r="K202" s="899">
        <f>PS_cloudarch.sen_EUR</f>
        <v>126.408</v>
      </c>
      <c r="L202" s="742"/>
      <c r="M202" s="666"/>
      <c r="N202" s="744"/>
      <c r="O202" s="8"/>
      <c r="Q202" s="677"/>
      <c r="R202" s="677"/>
    </row>
    <row r="203" spans="2:18" ht="25" customHeight="1">
      <c r="B203" s="134" t="s">
        <v>525</v>
      </c>
      <c r="C203" s="129"/>
      <c r="D203" s="30" t="s">
        <v>174</v>
      </c>
      <c r="E203" s="40"/>
      <c r="F203" s="30"/>
      <c r="G203" s="40"/>
      <c r="H203" s="40"/>
      <c r="I203" s="772" t="s">
        <v>161</v>
      </c>
      <c r="J203" s="772"/>
      <c r="K203" s="898">
        <f>PS_pm.jun_EUR</f>
        <v>104.788</v>
      </c>
      <c r="L203" s="742"/>
      <c r="M203" s="666"/>
      <c r="N203" s="744"/>
      <c r="O203" s="8"/>
      <c r="Q203" s="677"/>
      <c r="R203" s="677"/>
    </row>
    <row r="204" spans="2:18" ht="25" customHeight="1">
      <c r="B204" s="137" t="s">
        <v>526</v>
      </c>
      <c r="C204" s="130"/>
      <c r="D204" s="38" t="s">
        <v>176</v>
      </c>
      <c r="E204" s="31"/>
      <c r="F204" s="773"/>
      <c r="G204" s="781"/>
      <c r="H204" s="781"/>
      <c r="I204" s="775" t="s">
        <v>161</v>
      </c>
      <c r="J204" s="775"/>
      <c r="K204" s="899">
        <f>PS_pm.sen_EUR</f>
        <v>126.408</v>
      </c>
      <c r="L204" s="742"/>
      <c r="M204" s="666"/>
      <c r="N204" s="744"/>
      <c r="O204" s="8"/>
      <c r="Q204" s="677"/>
      <c r="R204" s="677"/>
    </row>
    <row r="205" spans="2:18" ht="25" customHeight="1">
      <c r="B205" s="106"/>
      <c r="C205" s="103"/>
      <c r="D205" s="397"/>
      <c r="E205" s="105"/>
      <c r="F205" s="779"/>
      <c r="G205" s="780"/>
      <c r="H205" s="780"/>
      <c r="I205" s="783"/>
      <c r="J205" s="783"/>
      <c r="K205" s="859"/>
      <c r="L205" s="742"/>
      <c r="M205" s="666"/>
      <c r="N205" s="744"/>
      <c r="O205" s="8"/>
      <c r="Q205" s="677"/>
      <c r="R205" s="677"/>
    </row>
    <row r="206" spans="2:18" ht="25" customHeight="1">
      <c r="B206" s="137"/>
      <c r="C206" s="130"/>
      <c r="D206" s="38"/>
      <c r="E206" s="31"/>
      <c r="F206" s="773"/>
      <c r="G206" s="781"/>
      <c r="H206" s="781"/>
      <c r="I206" s="775"/>
      <c r="J206" s="775"/>
      <c r="K206" s="556"/>
      <c r="M206" s="666"/>
      <c r="N206" s="744"/>
      <c r="O206" s="8"/>
    </row>
    <row r="207" spans="2:18" ht="25" customHeight="1">
      <c r="B207" s="651" t="s">
        <v>593</v>
      </c>
      <c r="C207" s="13"/>
      <c r="D207" s="13"/>
      <c r="F207" s="13"/>
      <c r="G207" s="13"/>
      <c r="H207" s="13"/>
      <c r="I207" s="778"/>
      <c r="J207" s="778"/>
      <c r="L207" s="742"/>
      <c r="M207" s="666"/>
      <c r="N207" s="744"/>
      <c r="O207" s="8"/>
      <c r="Q207" s="677"/>
      <c r="R207" s="677"/>
    </row>
    <row r="208" spans="2:18" ht="25" customHeight="1">
      <c r="B208" s="630" t="s">
        <v>594</v>
      </c>
      <c r="M208" s="666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576</v>
      </c>
      <c r="J209" s="23"/>
      <c r="K209" s="614" t="s">
        <v>179</v>
      </c>
      <c r="L209" s="742"/>
      <c r="M209" s="666"/>
      <c r="N209" s="744"/>
      <c r="O209" s="8"/>
      <c r="Q209" s="677"/>
      <c r="R209" s="677"/>
    </row>
    <row r="210" spans="1:18" ht="25" customHeight="1">
      <c r="B210" s="134" t="s">
        <v>527</v>
      </c>
      <c r="C210" s="129"/>
      <c r="D210" s="30" t="s">
        <v>182</v>
      </c>
      <c r="E210" s="40"/>
      <c r="F210" s="30"/>
      <c r="G210" s="40" t="s">
        <v>181</v>
      </c>
      <c r="H210" s="772"/>
      <c r="I210" s="920" t="s">
        <v>183</v>
      </c>
      <c r="J210" s="772"/>
      <c r="K210" s="557" t="s">
        <v>590</v>
      </c>
      <c r="L210" s="742"/>
      <c r="M210" s="666"/>
      <c r="N210" s="744"/>
      <c r="O210" s="8"/>
      <c r="Q210" s="677"/>
      <c r="R210" s="677"/>
    </row>
    <row r="211" spans="1:18" ht="25" customHeight="1">
      <c r="B211" s="137" t="s">
        <v>528</v>
      </c>
      <c r="C211" s="130"/>
      <c r="D211" s="38" t="s">
        <v>595</v>
      </c>
      <c r="E211" s="31"/>
      <c r="F211" s="773"/>
      <c r="G211" s="781" t="s">
        <v>181</v>
      </c>
      <c r="H211" s="775"/>
      <c r="I211" s="921" t="s">
        <v>183</v>
      </c>
      <c r="J211" s="775"/>
      <c r="K211" s="556" t="s">
        <v>590</v>
      </c>
      <c r="L211" s="742"/>
      <c r="M211" s="666"/>
      <c r="N211" s="744"/>
      <c r="O211" s="8"/>
      <c r="Q211" s="677"/>
      <c r="R211" s="677"/>
    </row>
    <row r="212" spans="1:18" ht="25" customHeight="1">
      <c r="B212" s="134" t="s">
        <v>529</v>
      </c>
      <c r="C212" s="129"/>
      <c r="D212" s="30" t="s">
        <v>596</v>
      </c>
      <c r="E212" s="40"/>
      <c r="F212" s="30"/>
      <c r="G212" s="40" t="s">
        <v>187</v>
      </c>
      <c r="H212" s="772"/>
      <c r="I212" s="920" t="s">
        <v>183</v>
      </c>
      <c r="J212" s="772"/>
      <c r="K212" s="557" t="s">
        <v>590</v>
      </c>
      <c r="L212" s="742"/>
      <c r="M212" s="666"/>
      <c r="N212" s="744"/>
      <c r="O212" s="8"/>
      <c r="Q212" s="677"/>
      <c r="R212" s="677"/>
    </row>
    <row r="213" spans="1:18" ht="25" customHeight="1">
      <c r="B213" s="137" t="s">
        <v>530</v>
      </c>
      <c r="C213" s="130"/>
      <c r="D213" s="38" t="s">
        <v>597</v>
      </c>
      <c r="E213" s="31"/>
      <c r="F213" s="773"/>
      <c r="G213" s="781" t="s">
        <v>187</v>
      </c>
      <c r="H213" s="775"/>
      <c r="I213" s="921" t="s">
        <v>183</v>
      </c>
      <c r="J213" s="775"/>
      <c r="K213" s="556" t="s">
        <v>590</v>
      </c>
      <c r="L213" s="742"/>
      <c r="M213" s="666"/>
      <c r="N213" s="744"/>
      <c r="O213" s="8"/>
      <c r="Q213" s="677"/>
      <c r="R213" s="677"/>
    </row>
    <row r="214" spans="1:18" ht="25" customHeight="1">
      <c r="B214" s="106"/>
      <c r="C214" s="103"/>
      <c r="D214" s="397"/>
      <c r="E214" s="105"/>
      <c r="F214" s="779"/>
      <c r="G214" s="780"/>
      <c r="H214" s="780"/>
      <c r="I214" s="780"/>
      <c r="J214" s="780"/>
      <c r="K214" s="859"/>
      <c r="L214" s="742"/>
      <c r="M214" s="666"/>
      <c r="N214" s="744"/>
      <c r="O214" s="8"/>
      <c r="Q214" s="677"/>
      <c r="R214" s="677"/>
    </row>
    <row r="215" spans="1:18" ht="25" customHeight="1">
      <c r="B215" s="417"/>
      <c r="C215" s="26"/>
      <c r="D215" s="26"/>
      <c r="E215" s="26"/>
      <c r="F215" s="762"/>
      <c r="G215" s="763"/>
      <c r="H215" s="742"/>
      <c r="I215" s="742"/>
      <c r="J215" s="742"/>
      <c r="K215" s="849"/>
      <c r="L215" s="744"/>
      <c r="M215" s="666"/>
      <c r="N215" s="677"/>
      <c r="O215" s="677"/>
    </row>
    <row r="216" spans="1:18" ht="25" customHeight="1">
      <c r="A216" s="771"/>
      <c r="B216" s="642"/>
      <c r="C216" s="60"/>
      <c r="D216" s="60"/>
      <c r="E216" s="60"/>
      <c r="F216" s="784"/>
      <c r="G216" s="785"/>
      <c r="H216" s="786"/>
      <c r="I216" s="787"/>
      <c r="J216" s="788"/>
      <c r="K216" s="861"/>
      <c r="L216" s="789"/>
      <c r="M216" s="666"/>
      <c r="N216" s="677"/>
      <c r="O216" s="677"/>
    </row>
    <row r="217" spans="1:18" s="4" customFormat="1" ht="25" customHeight="1">
      <c r="A217" s="3"/>
      <c r="B217" s="643"/>
      <c r="C217" s="54"/>
      <c r="D217" s="54"/>
      <c r="E217" s="54"/>
      <c r="F217" s="790"/>
      <c r="G217" s="791"/>
      <c r="H217" s="792"/>
      <c r="I217" s="793"/>
      <c r="J217" s="794"/>
      <c r="K217" s="862"/>
      <c r="L217" s="3"/>
      <c r="M217" s="666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959" t="s">
        <v>191</v>
      </c>
      <c r="C220" s="959"/>
      <c r="D220" s="959"/>
      <c r="E220" s="959"/>
      <c r="F220" s="959"/>
      <c r="G220" s="959"/>
      <c r="H220" s="668"/>
      <c r="I220" s="795"/>
      <c r="J220" s="3"/>
      <c r="K220" s="833"/>
      <c r="L220" s="3"/>
      <c r="M220" s="666"/>
    </row>
    <row r="221" spans="1:18" s="4" customFormat="1" ht="25" customHeight="1">
      <c r="A221" s="3"/>
      <c r="B221" s="959"/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60" t="s">
        <v>586</v>
      </c>
      <c r="C223" s="960"/>
      <c r="D223" s="960"/>
      <c r="E223" s="960"/>
      <c r="F223" s="960"/>
      <c r="G223" s="3"/>
      <c r="H223" s="668"/>
      <c r="I223" s="795"/>
      <c r="J223" s="3"/>
      <c r="K223" s="833"/>
      <c r="L223" s="796"/>
      <c r="M223" s="666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422" t="s">
        <v>599</v>
      </c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18" t="s">
        <v>600</v>
      </c>
      <c r="C226" s="62"/>
      <c r="D226" s="62"/>
      <c r="E226" s="62"/>
      <c r="F226" s="62"/>
      <c r="G226" s="3"/>
      <c r="H226" s="668"/>
      <c r="I226" s="3"/>
      <c r="J226" s="669"/>
      <c r="K226" s="833"/>
      <c r="L226" s="796"/>
      <c r="M226" s="666"/>
    </row>
    <row r="227" spans="1:20" s="4" customFormat="1" ht="25" customHeight="1">
      <c r="A227" s="3"/>
      <c r="B227" s="931" t="s">
        <v>3</v>
      </c>
      <c r="C227" s="67"/>
      <c r="D227" s="67"/>
      <c r="E227" s="67"/>
      <c r="F227" s="67"/>
      <c r="G227" s="796"/>
      <c r="H227" s="797"/>
      <c r="I227" s="796"/>
      <c r="J227" s="798"/>
      <c r="K227" s="863"/>
      <c r="L227" s="796"/>
      <c r="M227" s="666"/>
    </row>
    <row r="228" spans="1:20" s="717" customFormat="1" ht="25" customHeight="1">
      <c r="A228" s="799"/>
      <c r="B228" s="885"/>
      <c r="C228" s="135"/>
      <c r="D228" s="135"/>
      <c r="E228" s="135"/>
      <c r="F228" s="135"/>
      <c r="G228" s="796"/>
      <c r="H228" s="797"/>
      <c r="I228" s="796"/>
      <c r="J228" s="798"/>
      <c r="K228" s="863"/>
      <c r="L228" s="799"/>
      <c r="M228" s="666"/>
      <c r="N228" s="800"/>
      <c r="O228" s="731"/>
      <c r="P228" s="731"/>
      <c r="Q228" s="731"/>
      <c r="R228" s="731"/>
      <c r="S228" s="731"/>
      <c r="T228" s="731"/>
    </row>
    <row r="229" spans="1:20" ht="25" customHeight="1">
      <c r="A229" s="2"/>
      <c r="B229" s="644" t="s">
        <v>601</v>
      </c>
      <c r="C229" s="56"/>
      <c r="D229" s="57"/>
      <c r="E229" s="56"/>
      <c r="F229" s="661"/>
      <c r="G229" s="661"/>
      <c r="H229" s="661"/>
      <c r="I229" s="56"/>
      <c r="J229" s="661" t="s">
        <v>598</v>
      </c>
      <c r="K229" s="864"/>
      <c r="L229" s="801"/>
      <c r="M229" s="666"/>
      <c r="N229" s="28"/>
    </row>
    <row r="230" spans="1:20" ht="25" customHeight="1">
      <c r="A230" s="2"/>
      <c r="B230" s="829" t="s">
        <v>4</v>
      </c>
      <c r="C230" s="65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58"/>
      <c r="F230" s="658"/>
      <c r="G230" s="659"/>
      <c r="H230" s="802"/>
      <c r="I230" s="803"/>
      <c r="J230" s="922">
        <f>K64+K73+K55+K38+K82</f>
        <v>0</v>
      </c>
      <c r="K230" s="830"/>
      <c r="L230" s="2"/>
      <c r="M230" s="666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0"/>
      <c r="E231" s="660"/>
      <c r="F231" s="804"/>
      <c r="G231" s="805"/>
      <c r="H231" s="805"/>
      <c r="I231" s="806"/>
      <c r="J231" s="923">
        <f>K95</f>
        <v>0</v>
      </c>
      <c r="K231" s="830"/>
      <c r="L231" s="2"/>
      <c r="M231" s="666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4"/>
      <c r="G232" s="805"/>
      <c r="H232" s="805"/>
      <c r="I232" s="806"/>
      <c r="J232" s="923">
        <f>K119</f>
        <v>0</v>
      </c>
      <c r="K232" s="830"/>
      <c r="L232" s="2"/>
      <c r="M232" s="666"/>
      <c r="N232" s="28"/>
    </row>
    <row r="233" spans="1:20" s="810" customFormat="1" ht="25" customHeight="1">
      <c r="A233" s="808"/>
      <c r="B233" s="938" t="s">
        <v>30</v>
      </c>
      <c r="C233" s="924"/>
      <c r="D233" s="924"/>
      <c r="E233" s="924"/>
      <c r="F233" s="924"/>
      <c r="G233" s="924"/>
      <c r="H233" s="924"/>
      <c r="I233" s="924"/>
      <c r="J233" s="924">
        <f>SUM(J230:J232)</f>
        <v>0</v>
      </c>
      <c r="K233" s="865"/>
      <c r="L233" s="808"/>
      <c r="M233" s="666"/>
    </row>
    <row r="234" spans="1:20" ht="25" customHeight="1">
      <c r="A234" s="2"/>
      <c r="B234" s="421"/>
      <c r="C234" s="59"/>
      <c r="D234" s="59"/>
      <c r="E234" s="59"/>
      <c r="F234" s="811"/>
      <c r="G234" s="812"/>
      <c r="H234" s="812"/>
      <c r="I234" s="813"/>
      <c r="J234" s="813"/>
      <c r="K234" s="866"/>
      <c r="L234" s="2"/>
      <c r="M234" s="666"/>
    </row>
    <row r="235" spans="1:20" ht="25" customHeight="1">
      <c r="A235" s="2"/>
      <c r="B235" s="645"/>
      <c r="C235" s="30"/>
      <c r="D235" s="36"/>
      <c r="E235" s="37"/>
      <c r="F235" s="40"/>
      <c r="G235" s="442"/>
      <c r="H235" s="30"/>
      <c r="I235" s="776"/>
      <c r="J235" s="736"/>
      <c r="K235" s="830"/>
      <c r="L235" s="2"/>
      <c r="M235" s="666"/>
    </row>
    <row r="236" spans="1:20" ht="25" customHeight="1">
      <c r="A236" s="814"/>
      <c r="B236" s="646"/>
      <c r="C236" s="42"/>
      <c r="D236" s="33"/>
      <c r="E236" s="34"/>
      <c r="F236" s="815"/>
      <c r="G236" s="807"/>
      <c r="H236" s="42"/>
      <c r="I236" s="816"/>
      <c r="J236" s="437"/>
      <c r="K236" s="596"/>
      <c r="L236" s="817"/>
      <c r="M236" s="666"/>
    </row>
    <row r="237" spans="1:20" s="112" customFormat="1" ht="25" customHeight="1">
      <c r="B237" s="647"/>
      <c r="C237" s="108"/>
      <c r="D237" s="109"/>
      <c r="E237" s="110"/>
      <c r="F237" s="818"/>
      <c r="G237" s="819"/>
      <c r="H237" s="108"/>
      <c r="I237" s="820"/>
      <c r="J237" s="821"/>
      <c r="K237" s="867"/>
    </row>
    <row r="238" spans="1:20" s="112" customFormat="1" ht="25" customHeight="1">
      <c r="B238" s="934" t="s">
        <v>564</v>
      </c>
      <c r="C238" s="108"/>
      <c r="D238" s="108"/>
      <c r="E238" s="108"/>
      <c r="F238" s="822"/>
      <c r="G238" s="823"/>
      <c r="H238" s="824"/>
      <c r="I238" s="824"/>
      <c r="J238" s="824"/>
      <c r="K238" s="868"/>
      <c r="L238" s="821"/>
      <c r="M238" s="821"/>
      <c r="N238" s="821"/>
    </row>
    <row r="239" spans="1:20" s="112" customFormat="1" ht="25" customHeight="1">
      <c r="B239" s="935" t="s">
        <v>565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6" t="s">
        <v>566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5" t="s">
        <v>567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7" t="s">
        <v>670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647"/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825" customFormat="1" ht="25" customHeight="1">
      <c r="A247" s="112"/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8"/>
      <c r="K267" s="868"/>
      <c r="M267" s="826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29" spans="2:4" ht="25" customHeight="1">
      <c r="B329" s="649"/>
      <c r="C329" s="38"/>
      <c r="D329" s="96"/>
    </row>
  </sheetData>
  <sheetProtection algorithmName="SHA-512" hashValue="zRUWmevMoGCUNl9bOmJKCRThOjfM5LVzO02AdNcNCO6WKBjSGgoGlw+sZNhIcKp0p6qcJe8VnPx8ac+2cMsZgw==" saltValue="WGUl3UQJ5Tl5TSDRNRpGxQ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995" t="str">
        <f>"1 SEK = "&amp;EUR&amp;" EUR"</f>
        <v>1 SEK = 0,092 EUR</v>
      </c>
      <c r="E11" s="995"/>
      <c r="F11" s="995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67"/>
      <c r="C16" s="967"/>
      <c r="D16" s="967"/>
      <c r="E16" s="967"/>
      <c r="F16" s="967"/>
      <c r="G16" s="967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67"/>
      <c r="C17" s="967"/>
      <c r="D17" s="967"/>
      <c r="E17" s="967"/>
      <c r="F17" s="967"/>
      <c r="G17" s="967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94" t="s">
        <v>6</v>
      </c>
      <c r="C19" s="994"/>
      <c r="D19" s="994"/>
      <c r="E19" s="994"/>
      <c r="F19" s="994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86" t="s">
        <v>65</v>
      </c>
      <c r="G88" s="986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999">
        <f>VOLUME_large_EUR</f>
        <v>0.1104</v>
      </c>
      <c r="G89" s="999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15">
        <f>VOLUME_fast_EUR</f>
        <v>0.33119999999999999</v>
      </c>
      <c r="G90" s="1015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67" t="s">
        <v>72</v>
      </c>
      <c r="C95" s="967"/>
      <c r="D95" s="967"/>
      <c r="E95" s="967"/>
      <c r="F95" s="967"/>
      <c r="G95" s="967"/>
      <c r="H95" s="177"/>
      <c r="J95" s="178"/>
      <c r="K95" s="178"/>
      <c r="M95" s="567"/>
      <c r="O95" s="168"/>
    </row>
    <row r="96" spans="2:23" s="169" customFormat="1" ht="25" customHeight="1">
      <c r="B96" s="967"/>
      <c r="C96" s="967"/>
      <c r="D96" s="967"/>
      <c r="E96" s="967"/>
      <c r="F96" s="967"/>
      <c r="G96" s="967"/>
      <c r="H96" s="177"/>
      <c r="J96" s="178"/>
      <c r="K96" s="178"/>
      <c r="M96" s="567"/>
      <c r="O96" s="168"/>
    </row>
    <row r="97" spans="2:22" s="169" customFormat="1" ht="25" customHeight="1">
      <c r="B97" s="967"/>
      <c r="C97" s="967"/>
      <c r="D97" s="967"/>
      <c r="E97" s="967"/>
      <c r="F97" s="967"/>
      <c r="G97" s="967"/>
      <c r="H97" s="177"/>
      <c r="J97" s="178"/>
      <c r="K97" s="178"/>
      <c r="M97" s="567"/>
      <c r="O97" s="168"/>
    </row>
    <row r="98" spans="2:22" s="169" customFormat="1" ht="25" customHeight="1">
      <c r="B98" s="1016" t="s">
        <v>73</v>
      </c>
      <c r="C98" s="1016"/>
      <c r="D98" s="1016"/>
      <c r="E98" s="1016"/>
      <c r="F98" s="1016"/>
      <c r="H98" s="177"/>
      <c r="J98" s="178"/>
      <c r="K98" s="178"/>
      <c r="M98" s="567"/>
      <c r="N98" s="182"/>
      <c r="O98" s="187"/>
    </row>
    <row r="99" spans="2:22" s="291" customFormat="1" ht="25" customHeight="1">
      <c r="B99" s="994" t="s">
        <v>74</v>
      </c>
      <c r="C99" s="994"/>
      <c r="D99" s="994"/>
      <c r="E99" s="994"/>
      <c r="F99" s="994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86" t="s">
        <v>76</v>
      </c>
      <c r="E102" s="986"/>
      <c r="F102" s="986"/>
      <c r="G102" s="986"/>
      <c r="H102" s="266" t="s">
        <v>75</v>
      </c>
      <c r="I102" s="265"/>
      <c r="J102" s="986"/>
      <c r="K102" s="986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997">
        <f>S3_storage.50_EUR</f>
        <v>32.200000000000003</v>
      </c>
      <c r="E104" s="997"/>
      <c r="F104" s="998"/>
      <c r="G104" s="998"/>
      <c r="H104" s="998"/>
      <c r="I104" s="998"/>
      <c r="J104" s="998"/>
      <c r="K104" s="998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85">
        <f>S3_storage.100_EUR</f>
        <v>24.84</v>
      </c>
      <c r="E105" s="985"/>
      <c r="F105" s="990"/>
      <c r="G105" s="990"/>
      <c r="H105" s="990"/>
      <c r="I105" s="990"/>
      <c r="J105" s="990"/>
      <c r="K105" s="990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989">
        <f>S3_storage.500_EUR</f>
        <v>18.399999999999999</v>
      </c>
      <c r="E106" s="989"/>
      <c r="F106" s="984"/>
      <c r="G106" s="984"/>
      <c r="H106" s="984"/>
      <c r="I106" s="984"/>
      <c r="J106" s="984"/>
      <c r="K106" s="984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85">
        <f>S3_storage.1000_EUR</f>
        <v>17.02</v>
      </c>
      <c r="E107" s="985"/>
      <c r="F107" s="990"/>
      <c r="G107" s="990"/>
      <c r="H107" s="990"/>
      <c r="I107" s="990"/>
      <c r="J107" s="990"/>
      <c r="K107" s="990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991" t="str">
        <f>S3_storage.quote_EUR</f>
        <v>Request a quote</v>
      </c>
      <c r="E108" s="991"/>
      <c r="F108" s="992"/>
      <c r="G108" s="992"/>
      <c r="H108" s="992"/>
      <c r="I108" s="992"/>
      <c r="J108" s="992"/>
      <c r="K108" s="992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96" t="s">
        <v>76</v>
      </c>
      <c r="E111" s="996"/>
      <c r="F111" s="986"/>
      <c r="G111" s="986"/>
      <c r="H111" s="266" t="s">
        <v>75</v>
      </c>
      <c r="I111" s="266"/>
      <c r="J111" s="986"/>
      <c r="K111" s="986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997">
        <f>S3_archive.50_EUR</f>
        <v>32.200000000000003</v>
      </c>
      <c r="E113" s="997"/>
      <c r="F113" s="998"/>
      <c r="G113" s="998"/>
      <c r="H113" s="998"/>
      <c r="I113" s="998"/>
      <c r="J113" s="998"/>
      <c r="K113" s="998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85">
        <f>S3_archive.100_EUR</f>
        <v>24.84</v>
      </c>
      <c r="E114" s="985"/>
      <c r="F114" s="990"/>
      <c r="G114" s="990"/>
      <c r="H114" s="990"/>
      <c r="I114" s="990"/>
      <c r="J114" s="990"/>
      <c r="K114" s="990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989">
        <f>S3_archive.500_EUR</f>
        <v>18.399999999999999</v>
      </c>
      <c r="E115" s="989"/>
      <c r="F115" s="984"/>
      <c r="G115" s="984"/>
      <c r="H115" s="984"/>
      <c r="I115" s="984"/>
      <c r="J115" s="984"/>
      <c r="K115" s="984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85">
        <f>S3_archive.1000_EUR</f>
        <v>17.02</v>
      </c>
      <c r="E116" s="985"/>
      <c r="F116" s="990"/>
      <c r="G116" s="990"/>
      <c r="H116" s="990"/>
      <c r="I116" s="990"/>
      <c r="J116" s="990"/>
      <c r="K116" s="990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991" t="str">
        <f>S3_archive.quote_EUR</f>
        <v>Request a quote</v>
      </c>
      <c r="E117" s="991"/>
      <c r="F117" s="992"/>
      <c r="G117" s="992"/>
      <c r="H117" s="992"/>
      <c r="I117" s="992"/>
      <c r="J117" s="992"/>
      <c r="K117" s="992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67" t="s">
        <v>86</v>
      </c>
      <c r="C122" s="967"/>
      <c r="D122" s="967"/>
      <c r="E122" s="967"/>
      <c r="F122" s="967"/>
      <c r="G122" s="967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67"/>
      <c r="C123" s="967"/>
      <c r="D123" s="967"/>
      <c r="E123" s="967"/>
      <c r="F123" s="967"/>
      <c r="G123" s="967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67"/>
      <c r="C124" s="967"/>
      <c r="D124" s="967"/>
      <c r="E124" s="967"/>
      <c r="F124" s="967"/>
      <c r="G124" s="967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88" t="s">
        <v>87</v>
      </c>
      <c r="C125" s="988"/>
      <c r="D125" s="988"/>
      <c r="E125" s="988"/>
      <c r="F125" s="988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68" t="s">
        <v>6</v>
      </c>
      <c r="C126" s="968"/>
      <c r="D126" s="968"/>
      <c r="E126" s="968"/>
      <c r="F126" s="968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86" t="s">
        <v>89</v>
      </c>
      <c r="G129" s="986"/>
      <c r="H129" s="266" t="s">
        <v>90</v>
      </c>
      <c r="I129" s="265"/>
      <c r="J129" s="1000" t="s">
        <v>91</v>
      </c>
      <c r="K129" s="1000"/>
      <c r="L129" s="535"/>
      <c r="M129" s="577" t="s">
        <v>92</v>
      </c>
      <c r="N129" s="252"/>
      <c r="O129" s="160"/>
    </row>
    <row r="130" spans="2:34" ht="25" customHeight="1">
      <c r="B130" s="1001" t="s">
        <v>93</v>
      </c>
      <c r="C130" s="1001"/>
      <c r="D130" s="467" t="s">
        <v>94</v>
      </c>
      <c r="E130" s="29"/>
      <c r="F130" s="1002">
        <f>BAAS_on.demand_EUR</f>
        <v>0.22540000000000002</v>
      </c>
      <c r="G130" s="1003"/>
      <c r="H130" s="307">
        <v>0</v>
      </c>
      <c r="I130" s="272" t="s">
        <v>69</v>
      </c>
      <c r="J130" s="1004" t="s">
        <v>94</v>
      </c>
      <c r="K130" s="1004"/>
      <c r="L130" s="308"/>
      <c r="M130" s="578">
        <f>ROUNDUP(H130*F130,2)</f>
        <v>0</v>
      </c>
      <c r="N130" s="252"/>
      <c r="O130" s="160"/>
    </row>
    <row r="131" spans="2:34" ht="25" customHeight="1">
      <c r="B131" s="1005" t="s">
        <v>95</v>
      </c>
      <c r="C131" s="1005"/>
      <c r="D131" s="468">
        <f>BAAS_small.fee_EUR</f>
        <v>506</v>
      </c>
      <c r="E131" s="32"/>
      <c r="F131" s="1006">
        <f>BAAS_small_EUR</f>
        <v>0.161</v>
      </c>
      <c r="G131" s="1007"/>
      <c r="H131" s="309">
        <v>0</v>
      </c>
      <c r="I131" s="276" t="s">
        <v>69</v>
      </c>
      <c r="J131" s="1008">
        <v>0.75</v>
      </c>
      <c r="K131" s="1009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10" t="s">
        <v>96</v>
      </c>
      <c r="C132" s="1010"/>
      <c r="D132" s="469">
        <f>BAAS_large.fee_EUR</f>
        <v>874</v>
      </c>
      <c r="E132" s="35"/>
      <c r="F132" s="1011">
        <f>BAAS_large_EUR</f>
        <v>8.4640000000000007E-2</v>
      </c>
      <c r="G132" s="1012"/>
      <c r="H132" s="298">
        <v>0</v>
      </c>
      <c r="I132" s="299" t="s">
        <v>69</v>
      </c>
      <c r="J132" s="1013">
        <v>0.75</v>
      </c>
      <c r="K132" s="1014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87" t="s">
        <v>97</v>
      </c>
      <c r="C135" s="987"/>
      <c r="D135" s="987"/>
      <c r="E135" s="987"/>
      <c r="F135" s="987"/>
      <c r="G135" s="987"/>
      <c r="H135" s="987"/>
      <c r="I135" s="987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87" t="s">
        <v>98</v>
      </c>
      <c r="C136" s="987"/>
      <c r="D136" s="987"/>
      <c r="E136" s="987"/>
      <c r="F136" s="987"/>
      <c r="G136" s="987"/>
      <c r="H136" s="987"/>
      <c r="I136" s="987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87" t="s">
        <v>99</v>
      </c>
      <c r="C137" s="987"/>
      <c r="D137" s="987"/>
      <c r="E137" s="987"/>
      <c r="F137" s="987"/>
      <c r="G137" s="987"/>
      <c r="H137" s="987"/>
      <c r="I137" s="987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87" t="s">
        <v>418</v>
      </c>
      <c r="C138" s="987"/>
      <c r="D138" s="987"/>
      <c r="E138" s="987"/>
      <c r="F138" s="987"/>
      <c r="G138" s="987"/>
      <c r="H138" s="987"/>
      <c r="I138" s="987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67" t="s">
        <v>100</v>
      </c>
      <c r="C143" s="967"/>
      <c r="D143" s="967"/>
      <c r="E143" s="967"/>
      <c r="F143" s="967"/>
      <c r="G143" s="967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67"/>
      <c r="C144" s="967"/>
      <c r="D144" s="967"/>
      <c r="E144" s="967"/>
      <c r="F144" s="967"/>
      <c r="G144" s="967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67"/>
      <c r="C145" s="967"/>
      <c r="D145" s="967"/>
      <c r="E145" s="967"/>
      <c r="F145" s="967"/>
      <c r="G145" s="967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68" t="s">
        <v>6</v>
      </c>
      <c r="C146" s="968"/>
      <c r="D146" s="968"/>
      <c r="E146" s="968"/>
      <c r="F146" s="968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69"/>
      <c r="C147" s="969"/>
      <c r="D147" s="969"/>
      <c r="E147" s="969"/>
      <c r="F147" s="969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65" t="s">
        <v>14</v>
      </c>
      <c r="M150" s="96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66">
        <f>NET_publicv4_EUR</f>
        <v>2.2999999999999998</v>
      </c>
      <c r="M151" s="96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18">
        <f>NET_publicv6_EUR</f>
        <v>0</v>
      </c>
      <c r="M152" s="1018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19">
        <f>NET_ingress_EUR</f>
        <v>0</v>
      </c>
      <c r="M153" s="1019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18">
        <f>NET_egress_EUR</f>
        <v>2.3E-2</v>
      </c>
      <c r="M154" s="1018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80" t="str">
        <f>NET_mgn.slb_EUR</f>
        <v>Request a quote</v>
      </c>
      <c r="M155" s="980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18">
        <f>NET_rdns_EUR</f>
        <v>0</v>
      </c>
      <c r="M156" s="1018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80">
        <f>NET_byoip_EUR</f>
        <v>0</v>
      </c>
      <c r="M157" s="980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17"/>
      <c r="M158" s="1017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64"/>
      <c r="M159" s="964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65" t="s">
        <v>14</v>
      </c>
      <c r="M160" s="96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66">
        <f>SW_win.ser.201X_EUR</f>
        <v>7.1760000000000002</v>
      </c>
      <c r="M161" s="96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23">
        <f>SW_win.ser.201X_EUR</f>
        <v>7.1760000000000002</v>
      </c>
      <c r="M162" s="1023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80">
        <f>SW_ms.sql.ser_EUR</f>
        <v>137.816</v>
      </c>
      <c r="M163" s="980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5" t="str">
        <f>SW_nextcloud_EUR</f>
        <v>Request a quote</v>
      </c>
      <c r="M165" s="1025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5" t="str">
        <f>SW_cluster.control_EUR</f>
        <v>3x instance price</v>
      </c>
      <c r="M167" s="1025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81">
        <f>SW_backup.ninja_EUR</f>
        <v>36.799999999999997</v>
      </c>
      <c r="M168" s="98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82"/>
      <c r="M169" s="982"/>
      <c r="O169" s="205"/>
      <c r="P169" s="190"/>
      <c r="R169" s="284"/>
      <c r="S169" s="189"/>
    </row>
    <row r="170" spans="2:22" ht="25" customHeight="1">
      <c r="B170" s="471"/>
      <c r="K170" s="334"/>
      <c r="L170" s="1020"/>
      <c r="M170" s="1020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64"/>
      <c r="M171" s="964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65" t="s">
        <v>14</v>
      </c>
      <c r="M172" s="965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30" t="str">
        <f>PAAS_man.kubernetes24_EUR</f>
        <v xml:space="preserve"> Requests for quotation </v>
      </c>
      <c r="M173" s="1030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31" t="str">
        <f>PAAS_man.kubernetes8_EUR</f>
        <v>Requests for quotation</v>
      </c>
      <c r="M174" s="1031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21" t="str">
        <f>PAAS_man.elasticsearch_EUR</f>
        <v>Requests for quotation</v>
      </c>
      <c r="M175" s="1021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31" t="str">
        <f>PAAS_man.redis_EUR</f>
        <v>Requests for quotation</v>
      </c>
      <c r="M176" s="1031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21" t="str">
        <f>PAAS_man.nats_EUR</f>
        <v>Requests for quotation</v>
      </c>
      <c r="M177" s="1021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Requests for quotation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82"/>
      <c r="M179" s="982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28"/>
      <c r="M180" s="1028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29"/>
      <c r="M181" s="1029"/>
      <c r="N181" s="189"/>
      <c r="O181" s="205"/>
      <c r="P181" s="180"/>
      <c r="Q181" s="180"/>
    </row>
    <row r="182" spans="2:19" s="169" customFormat="1" ht="25" customHeight="1">
      <c r="B182" s="967" t="s">
        <v>151</v>
      </c>
      <c r="C182" s="967"/>
      <c r="D182" s="967"/>
      <c r="E182" s="967"/>
      <c r="F182" s="967"/>
      <c r="G182" s="967"/>
      <c r="H182" s="335"/>
      <c r="J182" s="178"/>
      <c r="L182" s="973"/>
      <c r="M182" s="973"/>
      <c r="N182" s="189"/>
      <c r="O182" s="205"/>
    </row>
    <row r="183" spans="2:19" s="169" customFormat="1" ht="25" customHeight="1">
      <c r="B183" s="967"/>
      <c r="C183" s="967"/>
      <c r="D183" s="967"/>
      <c r="E183" s="967"/>
      <c r="F183" s="967"/>
      <c r="G183" s="967"/>
      <c r="H183" s="335"/>
      <c r="J183" s="178"/>
      <c r="L183" s="973"/>
      <c r="M183" s="973"/>
      <c r="N183" s="189"/>
      <c r="O183" s="205"/>
    </row>
    <row r="184" spans="2:19" s="169" customFormat="1" ht="25" customHeight="1">
      <c r="B184" s="967"/>
      <c r="C184" s="967"/>
      <c r="D184" s="967"/>
      <c r="E184" s="967"/>
      <c r="F184" s="967"/>
      <c r="G184" s="967"/>
      <c r="H184" s="335"/>
      <c r="J184" s="178"/>
      <c r="L184" s="973"/>
      <c r="M184" s="973"/>
      <c r="N184" s="189"/>
      <c r="O184" s="205"/>
    </row>
    <row r="185" spans="2:19" s="169" customFormat="1" ht="25" customHeight="1">
      <c r="B185" s="968" t="s">
        <v>6</v>
      </c>
      <c r="C185" s="968"/>
      <c r="D185" s="968"/>
      <c r="E185" s="968"/>
      <c r="F185" s="968"/>
      <c r="H185" s="335"/>
      <c r="J185" s="178"/>
      <c r="L185" s="973"/>
      <c r="M185" s="973"/>
      <c r="N185" s="189"/>
      <c r="O185" s="205"/>
    </row>
    <row r="186" spans="2:19" s="169" customFormat="1" ht="25" customHeight="1">
      <c r="B186" s="969"/>
      <c r="C186" s="969"/>
      <c r="D186" s="969"/>
      <c r="E186" s="969"/>
      <c r="F186" s="969"/>
      <c r="G186" s="182"/>
      <c r="H186" s="183"/>
      <c r="I186" s="182"/>
      <c r="J186" s="184"/>
      <c r="K186" s="182"/>
      <c r="L186" s="974"/>
      <c r="M186" s="97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74"/>
      <c r="M187" s="97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75"/>
      <c r="M188" s="97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65" t="s">
        <v>14</v>
      </c>
      <c r="M189" s="96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76">
        <v>0</v>
      </c>
      <c r="M190" s="97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26" t="s">
        <v>158</v>
      </c>
      <c r="M191" s="102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27" t="s">
        <v>162</v>
      </c>
      <c r="M192" s="102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82"/>
      <c r="M193" s="982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83"/>
      <c r="M194" s="983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64"/>
      <c r="M195" s="964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65" t="s">
        <v>14</v>
      </c>
      <c r="M196" s="96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66">
        <f>PS_consult.jun_EUR</f>
        <v>103.684</v>
      </c>
      <c r="M197" s="96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23">
        <f>PS_consult.sen_EUR</f>
        <v>126.408</v>
      </c>
      <c r="M198" s="1023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80">
        <f>PS_cloudarch.jun_EUR</f>
        <v>117.48399999999999</v>
      </c>
      <c r="M199" s="980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23">
        <f>PS_cloudarch.sen_EUR</f>
        <v>126.408</v>
      </c>
      <c r="M200" s="1023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80">
        <f>PS_pm.jun_EUR</f>
        <v>104.788</v>
      </c>
      <c r="M201" s="980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81">
        <f>PS_pm.sen_EUR</f>
        <v>126.408</v>
      </c>
      <c r="M202" s="98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82"/>
      <c r="M203" s="982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83"/>
      <c r="M204" s="983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64"/>
      <c r="M205" s="964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65" t="s">
        <v>179</v>
      </c>
      <c r="M206" s="96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76" t="s">
        <v>162</v>
      </c>
      <c r="M207" s="97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77" t="s">
        <v>162</v>
      </c>
      <c r="M208" s="97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78" t="s">
        <v>162</v>
      </c>
      <c r="M209" s="97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79" t="s">
        <v>162</v>
      </c>
      <c r="M210" s="97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70" t="s">
        <v>191</v>
      </c>
      <c r="C217" s="970"/>
      <c r="D217" s="970"/>
      <c r="E217" s="970"/>
      <c r="F217" s="970"/>
      <c r="G217" s="970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70"/>
      <c r="C218" s="970"/>
      <c r="D218" s="970"/>
      <c r="E218" s="970"/>
      <c r="F218" s="970"/>
      <c r="G218" s="970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70"/>
      <c r="C219" s="970"/>
      <c r="D219" s="970"/>
      <c r="E219" s="970"/>
      <c r="F219" s="970"/>
      <c r="G219" s="970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71" t="s">
        <v>6</v>
      </c>
      <c r="C220" s="971"/>
      <c r="D220" s="971"/>
      <c r="E220" s="971"/>
      <c r="F220" s="971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72" t="str">
        <f>SUM(E67)&amp;" GB NVME-Disk"</f>
        <v>0 GB NVME-Disk</v>
      </c>
      <c r="G227" s="972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675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666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605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956" t="s">
        <v>606</v>
      </c>
      <c r="C19" s="956"/>
      <c r="D19" s="956"/>
      <c r="E19" s="956"/>
      <c r="F19" s="956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79"/>
      <c r="H20" s="680"/>
      <c r="I20" s="679"/>
      <c r="J20" s="681"/>
      <c r="K20" s="836"/>
      <c r="L20" s="682"/>
      <c r="M20" s="666"/>
      <c r="S20" s="677"/>
      <c r="T20" s="677"/>
      <c r="U20" s="677"/>
      <c r="V20" s="677"/>
      <c r="W20" s="683"/>
      <c r="X20" s="8"/>
      <c r="Y20" s="677"/>
      <c r="Z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538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57" t="s">
        <v>646</v>
      </c>
      <c r="C24" s="957"/>
      <c r="D24" s="957"/>
      <c r="E24" s="957"/>
      <c r="M24" s="666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609</v>
      </c>
      <c r="H25" s="688"/>
      <c r="I25" s="689" t="s">
        <v>611</v>
      </c>
      <c r="J25" s="688"/>
      <c r="K25" s="839" t="s">
        <v>215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691">
        <f t="shared" ref="F26:F37" si="0">G26/720</f>
        <v>0.66666666666666663</v>
      </c>
      <c r="G26" s="692">
        <f t="shared" ref="G26:G37" si="1">C26*IAAS_vcpu_SEK+D26*IAAS_ram_SEK+E26*IAAS_nvme_SEK</f>
        <v>480</v>
      </c>
      <c r="H26" s="44"/>
      <c r="I26" s="693"/>
      <c r="J26" s="44"/>
      <c r="K26" s="840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694">
        <f t="shared" si="0"/>
        <v>1.2222222222222223</v>
      </c>
      <c r="G27" s="695">
        <f t="shared" si="1"/>
        <v>880</v>
      </c>
      <c r="H27" s="46"/>
      <c r="I27" s="693"/>
      <c r="J27" s="46"/>
      <c r="K27" s="841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691">
        <f t="shared" si="0"/>
        <v>1.9166666666666667</v>
      </c>
      <c r="G28" s="692">
        <f t="shared" si="1"/>
        <v>1380</v>
      </c>
      <c r="H28" s="44"/>
      <c r="I28" s="693"/>
      <c r="J28" s="44"/>
      <c r="K28" s="840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694">
        <f t="shared" si="0"/>
        <v>1.1944444444444444</v>
      </c>
      <c r="G29" s="695">
        <f t="shared" si="1"/>
        <v>860</v>
      </c>
      <c r="H29" s="46"/>
      <c r="I29" s="693"/>
      <c r="J29" s="46"/>
      <c r="K29" s="841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691">
        <f t="shared" si="0"/>
        <v>1.75</v>
      </c>
      <c r="G30" s="692">
        <f t="shared" si="1"/>
        <v>1260</v>
      </c>
      <c r="H30" s="44"/>
      <c r="I30" s="693"/>
      <c r="J30" s="44"/>
      <c r="K30" s="840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694">
        <f t="shared" si="0"/>
        <v>2.4444444444444446</v>
      </c>
      <c r="G31" s="695">
        <f t="shared" si="1"/>
        <v>1760</v>
      </c>
      <c r="H31" s="46"/>
      <c r="I31" s="693"/>
      <c r="J31" s="46"/>
      <c r="K31" s="841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691">
        <f t="shared" si="0"/>
        <v>2.25</v>
      </c>
      <c r="G32" s="692">
        <f t="shared" si="1"/>
        <v>1620</v>
      </c>
      <c r="H32" s="44"/>
      <c r="I32" s="693"/>
      <c r="J32" s="44"/>
      <c r="K32" s="840">
        <f t="shared" si="2"/>
        <v>0</v>
      </c>
      <c r="M32" s="666"/>
      <c r="P32" s="683"/>
      <c r="R32" s="683"/>
    </row>
    <row r="33" spans="2:18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694">
        <f t="shared" si="0"/>
        <v>2.8055555555555554</v>
      </c>
      <c r="G33" s="695">
        <f t="shared" si="1"/>
        <v>2020</v>
      </c>
      <c r="H33" s="46"/>
      <c r="I33" s="693"/>
      <c r="J33" s="46"/>
      <c r="K33" s="841">
        <f t="shared" si="2"/>
        <v>0</v>
      </c>
      <c r="M33" s="666"/>
      <c r="P33" s="683"/>
      <c r="R33" s="683"/>
    </row>
    <row r="34" spans="2:18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691">
        <f t="shared" si="0"/>
        <v>3.5</v>
      </c>
      <c r="G34" s="692">
        <f t="shared" si="1"/>
        <v>2520</v>
      </c>
      <c r="H34" s="44"/>
      <c r="I34" s="693"/>
      <c r="J34" s="44"/>
      <c r="K34" s="840">
        <f t="shared" si="2"/>
        <v>0</v>
      </c>
      <c r="M34" s="666"/>
      <c r="P34" s="683"/>
      <c r="R34" s="683"/>
    </row>
    <row r="35" spans="2:18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694">
        <f t="shared" si="0"/>
        <v>4.3611111111111107</v>
      </c>
      <c r="G35" s="695">
        <f t="shared" si="1"/>
        <v>3140</v>
      </c>
      <c r="H35" s="46"/>
      <c r="I35" s="693"/>
      <c r="J35" s="46"/>
      <c r="K35" s="841">
        <f t="shared" si="2"/>
        <v>0</v>
      </c>
      <c r="M35" s="666"/>
      <c r="P35" s="683"/>
      <c r="R35" s="683"/>
    </row>
    <row r="36" spans="2:18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691">
        <f t="shared" si="0"/>
        <v>4.916666666666667</v>
      </c>
      <c r="G36" s="692">
        <f t="shared" si="1"/>
        <v>3540</v>
      </c>
      <c r="H36" s="44"/>
      <c r="I36" s="693"/>
      <c r="J36" s="44"/>
      <c r="K36" s="840">
        <f t="shared" si="2"/>
        <v>0</v>
      </c>
      <c r="M36" s="666"/>
      <c r="P36" s="683"/>
      <c r="R36" s="683"/>
    </row>
    <row r="37" spans="2:18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694">
        <f t="shared" si="0"/>
        <v>5.6111111111111107</v>
      </c>
      <c r="G37" s="695">
        <f t="shared" si="1"/>
        <v>4040</v>
      </c>
      <c r="H37" s="46"/>
      <c r="I37" s="693"/>
      <c r="J37" s="46"/>
      <c r="K37" s="841">
        <f t="shared" si="2"/>
        <v>0</v>
      </c>
      <c r="M37" s="666"/>
      <c r="P37" s="683"/>
      <c r="R37" s="683"/>
    </row>
    <row r="38" spans="2:18" s="875" customFormat="1" ht="25" customHeight="1">
      <c r="B38" s="871" t="s">
        <v>222</v>
      </c>
      <c r="C38" s="872" t="str" cm="1">
        <f t="array" ref="C38">SUM(C26:C37*I26:I37)&amp;" st"</f>
        <v>0 st</v>
      </c>
      <c r="D38" s="872" t="str" cm="1">
        <f t="array" ref="D38">SUM(D26:D37*I26:I37)&amp;" GB"</f>
        <v>0 GB</v>
      </c>
      <c r="E38" s="873" t="str" cm="1">
        <f t="array" ref="E38">SUM(E26:E37*I26:I37)&amp;" GB"</f>
        <v>0 GB</v>
      </c>
      <c r="F38" s="872"/>
      <c r="G38" s="872"/>
      <c r="H38" s="872"/>
      <c r="I38" s="872" t="str">
        <f>SUM(I26:I37)&amp;" st"</f>
        <v>0 st</v>
      </c>
      <c r="J38" s="872"/>
      <c r="K38" s="874">
        <f>SUM(K26:K37)</f>
        <v>0</v>
      </c>
      <c r="M38" s="666"/>
      <c r="P38" s="876"/>
      <c r="R38" s="876"/>
    </row>
    <row r="39" spans="2:18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8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8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8" s="653" customFormat="1" ht="25" customHeight="1">
      <c r="B42" s="654" t="s">
        <v>449</v>
      </c>
      <c r="C42" s="652"/>
      <c r="D42" s="652"/>
      <c r="K42" s="844"/>
      <c r="M42" s="666"/>
    </row>
    <row r="43" spans="2:18" ht="25" customHeight="1">
      <c r="B43" s="957" t="s">
        <v>652</v>
      </c>
      <c r="C43" s="957"/>
      <c r="D43" s="957"/>
      <c r="E43" s="957"/>
      <c r="M43" s="666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609</v>
      </c>
      <c r="H44" s="688"/>
      <c r="I44" s="689" t="s">
        <v>611</v>
      </c>
      <c r="J44" s="688"/>
      <c r="K44" s="839" t="s">
        <v>215</v>
      </c>
      <c r="M44" s="666"/>
      <c r="N44" s="1"/>
      <c r="O44" s="1"/>
      <c r="P44" s="683"/>
      <c r="Q44" s="683"/>
      <c r="R44" s="690"/>
    </row>
    <row r="45" spans="2:18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691">
        <f t="shared" ref="F45:F54" si="3">G45/720</f>
        <v>0.2638888888888889</v>
      </c>
      <c r="G45" s="692">
        <f t="shared" ref="G45:G54" si="4">C45*IAAS_vcpu_SEK+D45*IAAS_ram_SEK+E45*IAAS_ssd_SEK</f>
        <v>190</v>
      </c>
      <c r="H45" s="44"/>
      <c r="I45" s="693"/>
      <c r="J45" s="44"/>
      <c r="K45" s="840">
        <f t="shared" ref="K45:K54" si="5">ROUNDUP(I45*G45,2)</f>
        <v>0</v>
      </c>
      <c r="M45" s="666"/>
      <c r="N45" s="710"/>
      <c r="O45" s="711"/>
    </row>
    <row r="46" spans="2:18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694">
        <f t="shared" si="3"/>
        <v>0.41666666666666669</v>
      </c>
      <c r="G46" s="695">
        <f t="shared" si="4"/>
        <v>300</v>
      </c>
      <c r="H46" s="46"/>
      <c r="I46" s="693"/>
      <c r="J46" s="46"/>
      <c r="K46" s="841">
        <f t="shared" si="5"/>
        <v>0</v>
      </c>
      <c r="L46" s="712"/>
      <c r="M46" s="666"/>
      <c r="N46" s="710"/>
      <c r="O46" s="711"/>
    </row>
    <row r="47" spans="2:18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691">
        <f t="shared" si="3"/>
        <v>0.52777777777777779</v>
      </c>
      <c r="G47" s="692">
        <f t="shared" si="4"/>
        <v>380</v>
      </c>
      <c r="H47" s="44"/>
      <c r="I47" s="693"/>
      <c r="J47" s="44"/>
      <c r="K47" s="840">
        <f t="shared" si="5"/>
        <v>0</v>
      </c>
      <c r="L47" s="712"/>
      <c r="M47" s="666"/>
      <c r="N47" s="710"/>
      <c r="O47" s="711"/>
    </row>
    <row r="48" spans="2:18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694">
        <f t="shared" si="3"/>
        <v>0.83333333333333337</v>
      </c>
      <c r="G48" s="695">
        <f t="shared" si="4"/>
        <v>600</v>
      </c>
      <c r="H48" s="46"/>
      <c r="I48" s="693"/>
      <c r="J48" s="46"/>
      <c r="K48" s="841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691">
        <f t="shared" si="3"/>
        <v>1.0555555555555556</v>
      </c>
      <c r="G49" s="692">
        <f t="shared" si="4"/>
        <v>760</v>
      </c>
      <c r="H49" s="44"/>
      <c r="I49" s="693"/>
      <c r="J49" s="44"/>
      <c r="K49" s="840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694">
        <f t="shared" si="3"/>
        <v>1.6666666666666667</v>
      </c>
      <c r="G50" s="695">
        <f t="shared" si="4"/>
        <v>1200</v>
      </c>
      <c r="H50" s="46"/>
      <c r="I50" s="693"/>
      <c r="J50" s="46"/>
      <c r="K50" s="841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691">
        <f t="shared" si="3"/>
        <v>2.1111111111111112</v>
      </c>
      <c r="G51" s="692">
        <f t="shared" si="4"/>
        <v>1520</v>
      </c>
      <c r="H51" s="44"/>
      <c r="I51" s="693"/>
      <c r="J51" s="44"/>
      <c r="K51" s="840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694">
        <f t="shared" si="3"/>
        <v>3.3333333333333335</v>
      </c>
      <c r="G52" s="695">
        <f t="shared" si="4"/>
        <v>2400</v>
      </c>
      <c r="H52" s="46"/>
      <c r="I52" s="693"/>
      <c r="J52" s="46"/>
      <c r="K52" s="841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691">
        <f t="shared" si="3"/>
        <v>4.2222222222222223</v>
      </c>
      <c r="G53" s="692">
        <f t="shared" si="4"/>
        <v>3040</v>
      </c>
      <c r="H53" s="44"/>
      <c r="I53" s="693"/>
      <c r="J53" s="44"/>
      <c r="K53" s="840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694">
        <f t="shared" si="3"/>
        <v>6.666666666666667</v>
      </c>
      <c r="G54" s="695">
        <f t="shared" si="4"/>
        <v>4800</v>
      </c>
      <c r="H54" s="46"/>
      <c r="I54" s="693"/>
      <c r="J54" s="46"/>
      <c r="K54" s="841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222</v>
      </c>
      <c r="C55" s="872" t="str" cm="1">
        <f t="array" ref="C55">SUM(b2_list_vCPU*b2_list_Antal_instanser)&amp;" st"</f>
        <v>0 st</v>
      </c>
      <c r="D55" s="872" t="str" cm="1">
        <f t="array" ref="D55">SUM(b2_list_ram*b2_list_vCPU)&amp;" GB"</f>
        <v>0 GB</v>
      </c>
      <c r="E55" s="877" t="s">
        <v>94</v>
      </c>
      <c r="F55" s="872"/>
      <c r="G55" s="872"/>
      <c r="H55" s="872"/>
      <c r="I55" s="872" t="str">
        <f>SUM(I45:I54)&amp;" st"</f>
        <v>0 st</v>
      </c>
      <c r="J55" s="872"/>
      <c r="K55" s="874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653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3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si="6"/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6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653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7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7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7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608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607</v>
      </c>
      <c r="M77" s="666"/>
    </row>
    <row r="78" spans="2:20" s="731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0" t="s">
        <v>610</v>
      </c>
      <c r="J78" s="24"/>
      <c r="K78" s="614" t="s">
        <v>612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80">
        <f>G79/720</f>
        <v>1.6666666666666666E-3</v>
      </c>
      <c r="G79" s="725">
        <f>VOLUME_large_SEK</f>
        <v>1.2</v>
      </c>
      <c r="H79" s="734"/>
      <c r="I79" s="735"/>
      <c r="J79" s="399"/>
      <c r="K79" s="830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81">
        <f>G80/720</f>
        <v>5.0000000000000001E-3</v>
      </c>
      <c r="G80" s="727">
        <f>VOLUME_fast_SEK</f>
        <v>3.6</v>
      </c>
      <c r="H80" s="737"/>
      <c r="I80" s="739"/>
      <c r="J80" s="740"/>
      <c r="K80" s="831">
        <f>ROUNDUP(I80*G80,2)</f>
        <v>0</v>
      </c>
      <c r="L80" s="8"/>
      <c r="M80" s="666"/>
      <c r="T80" s="683"/>
    </row>
    <row r="81" spans="2:26" s="677" customFormat="1" ht="25" customHeight="1">
      <c r="B81" s="134" t="s">
        <v>492</v>
      </c>
      <c r="C81" s="39" t="s">
        <v>434</v>
      </c>
      <c r="D81" s="78"/>
      <c r="E81" s="78"/>
      <c r="F81" s="80">
        <f>G81/720</f>
        <v>1.6666666666666666E-3</v>
      </c>
      <c r="G81" s="725">
        <f>VOLUME_large_SEK</f>
        <v>1.2</v>
      </c>
      <c r="H81" s="741"/>
      <c r="I81" s="735"/>
      <c r="J81" s="399"/>
      <c r="K81" s="830">
        <f>ROUNDUP(I81*G81,2)</f>
        <v>0</v>
      </c>
      <c r="L81" s="8"/>
      <c r="M81" s="666"/>
    </row>
    <row r="82" spans="2:26" s="875" customFormat="1" ht="25" customHeight="1">
      <c r="B82" s="871" t="s">
        <v>222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74">
        <f>SUM(K79:K81)</f>
        <v>0</v>
      </c>
      <c r="M82" s="666"/>
      <c r="P82" s="876"/>
      <c r="R82" s="876"/>
    </row>
    <row r="83" spans="2:26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6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6" s="4" customFormat="1" ht="25" customHeight="1">
      <c r="B85" s="940" t="s">
        <v>667</v>
      </c>
      <c r="C85" s="940"/>
      <c r="D85" s="940"/>
      <c r="E85" s="940"/>
      <c r="F85" s="940"/>
      <c r="G85" s="940"/>
      <c r="H85" s="674"/>
      <c r="J85" s="676"/>
      <c r="K85" s="835"/>
      <c r="M85" s="666"/>
    </row>
    <row r="86" spans="2:26" s="4" customFormat="1" ht="25" customHeight="1">
      <c r="B86" s="940"/>
      <c r="C86" s="940"/>
      <c r="D86" s="940"/>
      <c r="E86" s="940"/>
      <c r="F86" s="940"/>
      <c r="G86" s="940"/>
      <c r="H86" s="674"/>
      <c r="J86" s="676"/>
      <c r="K86" s="835"/>
      <c r="M86" s="666"/>
    </row>
    <row r="87" spans="2:26" s="4" customFormat="1" ht="25" customHeight="1">
      <c r="B87" s="940"/>
      <c r="C87" s="940"/>
      <c r="D87" s="940"/>
      <c r="E87" s="940"/>
      <c r="F87" s="940"/>
      <c r="G87" s="940"/>
      <c r="H87" s="674"/>
      <c r="J87" s="676"/>
      <c r="K87" s="835"/>
      <c r="M87" s="666"/>
    </row>
    <row r="88" spans="2:26" s="4" customFormat="1" ht="25" customHeight="1">
      <c r="B88" s="551" t="s">
        <v>647</v>
      </c>
      <c r="C88" s="551"/>
      <c r="D88" s="551"/>
      <c r="E88" s="551"/>
      <c r="F88" s="551"/>
      <c r="H88" s="674"/>
      <c r="J88" s="676"/>
      <c r="K88" s="835"/>
      <c r="M88" s="666"/>
    </row>
    <row r="89" spans="2:26" s="505" customFormat="1" ht="25" customHeight="1">
      <c r="B89" s="465" t="s">
        <v>613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79"/>
      <c r="H90" s="680"/>
      <c r="I90" s="679"/>
      <c r="J90" s="681"/>
      <c r="K90" s="836"/>
      <c r="L90" s="682"/>
      <c r="M90" s="666"/>
      <c r="S90" s="677"/>
      <c r="T90" s="677"/>
      <c r="U90" s="677"/>
      <c r="V90" s="677"/>
      <c r="W90" s="683"/>
      <c r="X90" s="8"/>
      <c r="Y90" s="677"/>
      <c r="Z90" s="677"/>
    </row>
    <row r="91" spans="2:26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614</v>
      </c>
      <c r="H92" s="24"/>
      <c r="I92" s="730" t="s">
        <v>615</v>
      </c>
      <c r="J92" s="131"/>
      <c r="K92" s="614" t="s">
        <v>83</v>
      </c>
      <c r="L92" s="682"/>
      <c r="M92" s="666"/>
      <c r="N92" s="677"/>
    </row>
    <row r="93" spans="2:26" s="754" customFormat="1" ht="25" customHeight="1">
      <c r="B93" s="445" t="s">
        <v>534</v>
      </c>
      <c r="C93" s="78"/>
      <c r="D93" s="524"/>
      <c r="E93" s="524"/>
      <c r="F93" s="750"/>
      <c r="G93" s="749">
        <f>S3_archive.50_SEK</f>
        <v>350</v>
      </c>
      <c r="H93" s="750"/>
      <c r="I93" s="751"/>
      <c r="J93" s="752"/>
      <c r="K93" s="631">
        <f>I93*G93</f>
        <v>0</v>
      </c>
      <c r="L93" s="753"/>
      <c r="M93" s="666"/>
      <c r="N93" s="723"/>
    </row>
    <row r="94" spans="2:26" s="677" customFormat="1" ht="25" customHeight="1">
      <c r="B94" s="137" t="s">
        <v>493</v>
      </c>
      <c r="C94" s="41"/>
      <c r="D94" s="79"/>
      <c r="E94" s="79"/>
      <c r="F94" s="737"/>
      <c r="G94" s="650">
        <f>S3_storage50_SEK</f>
        <v>500</v>
      </c>
      <c r="H94" s="738"/>
      <c r="I94" s="755"/>
      <c r="J94" s="740"/>
      <c r="K94" s="831">
        <f>I94*G94</f>
        <v>0</v>
      </c>
      <c r="L94" s="8"/>
      <c r="M94" s="666"/>
      <c r="T94" s="683"/>
    </row>
    <row r="95" spans="2:26" s="875" customFormat="1" ht="25" customHeight="1">
      <c r="B95" s="871" t="s">
        <v>222</v>
      </c>
      <c r="C95" s="872"/>
      <c r="D95" s="872"/>
      <c r="E95" s="872"/>
      <c r="F95" s="872"/>
      <c r="G95" s="872"/>
      <c r="H95" s="872"/>
      <c r="I95" s="872"/>
      <c r="J95" s="872"/>
      <c r="K95" s="874">
        <f>SUM(K93:K94)</f>
        <v>0</v>
      </c>
      <c r="M95" s="666"/>
      <c r="P95" s="876"/>
      <c r="R95" s="876"/>
    </row>
    <row r="96" spans="2:26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26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26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26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26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26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26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26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26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26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26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26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26" s="4" customFormat="1" ht="25" customHeight="1">
      <c r="B108" s="940" t="s">
        <v>668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26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26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26" s="4" customFormat="1" ht="25" customHeight="1">
      <c r="B111" s="551" t="s">
        <v>616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26" s="4" customFormat="1" ht="25" customHeight="1">
      <c r="B112" s="956" t="s">
        <v>606</v>
      </c>
      <c r="C112" s="956"/>
      <c r="D112" s="956"/>
      <c r="E112" s="956"/>
      <c r="F112" s="956"/>
      <c r="G112" s="679"/>
      <c r="H112" s="680"/>
      <c r="J112" s="681"/>
      <c r="K112" s="836"/>
      <c r="L112" s="682"/>
      <c r="M112" s="666"/>
      <c r="S112" s="677"/>
      <c r="T112" s="677"/>
      <c r="U112" s="677"/>
      <c r="V112" s="677"/>
      <c r="W112" s="677"/>
      <c r="X112" s="677"/>
      <c r="Y112" s="677"/>
      <c r="Z112" s="677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79"/>
      <c r="H113" s="680"/>
      <c r="I113" s="679"/>
      <c r="J113" s="681"/>
      <c r="K113" s="836"/>
      <c r="L113" s="682"/>
      <c r="M113" s="666"/>
      <c r="S113" s="677"/>
      <c r="T113" s="677"/>
      <c r="U113" s="677"/>
      <c r="V113" s="677"/>
      <c r="W113" s="683"/>
      <c r="X113" s="8"/>
      <c r="Y113" s="677"/>
      <c r="Z113" s="677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208</v>
      </c>
      <c r="C115" s="771"/>
      <c r="D115" s="771"/>
      <c r="E115" s="24" t="s">
        <v>286</v>
      </c>
      <c r="F115" s="771"/>
      <c r="G115" s="24" t="s">
        <v>618</v>
      </c>
      <c r="H115" s="24"/>
      <c r="I115" s="730" t="s">
        <v>610</v>
      </c>
      <c r="J115" s="730" t="s">
        <v>619</v>
      </c>
      <c r="K115" s="614" t="s">
        <v>92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765">
        <f>BAAS_on.demand_SEK</f>
        <v>2.4500000000000002</v>
      </c>
      <c r="H116" s="399"/>
      <c r="I116" s="751"/>
      <c r="J116" s="879" t="s">
        <v>94</v>
      </c>
      <c r="K116" s="830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31">
        <v>5500</v>
      </c>
      <c r="F117" s="740"/>
      <c r="G117" s="766">
        <f>BAAS_small_SEK</f>
        <v>1.75</v>
      </c>
      <c r="H117" s="740"/>
      <c r="I117" s="767"/>
      <c r="J117" s="768">
        <v>0.75</v>
      </c>
      <c r="K117" s="831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33">
        <v>9500</v>
      </c>
      <c r="F118" s="759"/>
      <c r="G118" s="765">
        <f>BAAS_large_SEK</f>
        <v>0.92</v>
      </c>
      <c r="H118" s="759"/>
      <c r="I118" s="758"/>
      <c r="J118" s="770">
        <v>0.75</v>
      </c>
      <c r="K118" s="596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222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74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hidden="1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624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956" t="s">
        <v>662</v>
      </c>
      <c r="C127" s="956"/>
      <c r="D127" s="956"/>
      <c r="E127" s="956"/>
      <c r="F127" s="956"/>
      <c r="G127" s="679"/>
      <c r="H127" s="680"/>
      <c r="J127" s="681"/>
      <c r="K127" s="836"/>
      <c r="L127" s="682"/>
      <c r="M127" s="666"/>
      <c r="S127" s="677"/>
      <c r="T127" s="677"/>
      <c r="U127" s="677"/>
      <c r="V127" s="677"/>
      <c r="W127" s="677"/>
      <c r="X127" s="677"/>
      <c r="Y127" s="677"/>
      <c r="Z127" s="677"/>
    </row>
    <row r="128" spans="2:32" s="4" customFormat="1" ht="25" hidden="1" customHeight="1">
      <c r="B128" s="552" t="s">
        <v>649</v>
      </c>
      <c r="C128" s="553"/>
      <c r="D128" s="553"/>
      <c r="E128" s="553"/>
      <c r="F128" s="133"/>
      <c r="G128" s="679"/>
      <c r="H128" s="680"/>
      <c r="I128" s="679"/>
      <c r="J128" s="681"/>
      <c r="K128" s="836"/>
      <c r="L128" s="682"/>
      <c r="M128" s="666"/>
      <c r="S128" s="677"/>
      <c r="T128" s="677"/>
      <c r="U128" s="677"/>
      <c r="V128" s="677"/>
      <c r="W128" s="683"/>
      <c r="X128" s="8"/>
      <c r="Y128" s="677"/>
      <c r="Z128" s="677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208</v>
      </c>
      <c r="C130" s="941" t="s">
        <v>625</v>
      </c>
      <c r="D130" s="941"/>
      <c r="E130" s="941" t="s">
        <v>626</v>
      </c>
      <c r="F130" s="941"/>
      <c r="G130" s="941" t="s">
        <v>286</v>
      </c>
      <c r="H130" s="941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648</v>
      </c>
      <c r="F131" s="949"/>
      <c r="G131" s="943">
        <v>15000</v>
      </c>
      <c r="H131" s="944"/>
      <c r="I131" s="751"/>
      <c r="J131" s="929">
        <v>2</v>
      </c>
      <c r="K131" s="856" t="str">
        <f>IF(J131=1,G131," ")</f>
        <v xml:space="preserve"> </v>
      </c>
      <c r="L131" s="724"/>
      <c r="M131" s="666"/>
    </row>
    <row r="132" spans="2:32" ht="25" hidden="1" customHeight="1">
      <c r="B132" s="137" t="s">
        <v>498</v>
      </c>
      <c r="C132" s="948" t="s">
        <v>627</v>
      </c>
      <c r="D132" s="948"/>
      <c r="E132" s="950" t="s">
        <v>628</v>
      </c>
      <c r="F132" s="950"/>
      <c r="G132" s="945">
        <v>24000</v>
      </c>
      <c r="H132" s="946"/>
      <c r="I132" s="755"/>
      <c r="J132" s="740"/>
      <c r="K132" s="857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222</v>
      </c>
      <c r="C133" s="872"/>
      <c r="D133" s="872"/>
      <c r="E133" s="872"/>
      <c r="F133" s="872"/>
      <c r="G133" s="872"/>
      <c r="H133" s="872"/>
      <c r="I133" s="928"/>
      <c r="J133" s="872"/>
      <c r="K133" s="874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292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956" t="s">
        <v>606</v>
      </c>
      <c r="C140" s="956"/>
      <c r="D140" s="956"/>
      <c r="E140" s="956"/>
      <c r="F140" s="956"/>
      <c r="G140" s="679"/>
      <c r="H140" s="680"/>
      <c r="J140" s="681"/>
      <c r="K140" s="836"/>
      <c r="L140" s="682"/>
      <c r="M140" s="666"/>
      <c r="S140" s="677"/>
      <c r="T140" s="677"/>
      <c r="U140" s="677"/>
      <c r="V140" s="677"/>
      <c r="W140" s="677"/>
      <c r="X140" s="677"/>
      <c r="Y140" s="677"/>
      <c r="Z140" s="677"/>
    </row>
    <row r="141" spans="2:32" s="4" customFormat="1" ht="25" customHeight="1">
      <c r="B141" s="1032"/>
      <c r="C141" s="1032"/>
      <c r="D141" s="1032"/>
      <c r="E141" s="1032"/>
      <c r="F141" s="1032"/>
      <c r="G141" s="679"/>
      <c r="H141" s="680"/>
      <c r="I141" s="679"/>
      <c r="J141" s="681"/>
      <c r="K141" s="836"/>
      <c r="L141" s="679"/>
      <c r="M141" s="666"/>
    </row>
    <row r="142" spans="2:32" s="4" customFormat="1" ht="25" customHeight="1">
      <c r="B142" s="465"/>
      <c r="C142" s="133"/>
      <c r="D142" s="133"/>
      <c r="E142" s="133"/>
      <c r="F142" s="133"/>
      <c r="G142" s="679"/>
      <c r="H142" s="680"/>
      <c r="I142" s="679"/>
      <c r="J142" s="681"/>
      <c r="K142" s="836"/>
      <c r="L142" s="679"/>
      <c r="M142" s="666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79"/>
      <c r="H143" s="679"/>
      <c r="I143" s="679"/>
      <c r="J143" s="681"/>
      <c r="K143" s="836"/>
      <c r="L143" s="679"/>
      <c r="M143" s="666"/>
      <c r="N143" s="677"/>
      <c r="O143" s="677"/>
      <c r="P143" s="677"/>
      <c r="Q143" s="677"/>
      <c r="R143" s="677"/>
      <c r="S143" s="677"/>
    </row>
    <row r="144" spans="2:32" ht="25" customHeight="1">
      <c r="B144" s="630" t="s">
        <v>629</v>
      </c>
      <c r="M144" s="666"/>
    </row>
    <row r="145" spans="2:18" ht="25" customHeight="1">
      <c r="B145" s="470" t="s">
        <v>208</v>
      </c>
      <c r="C145" s="23" t="s">
        <v>630</v>
      </c>
      <c r="D145" s="23"/>
      <c r="E145" s="24" t="s">
        <v>276</v>
      </c>
      <c r="F145" s="24"/>
      <c r="G145" s="24"/>
      <c r="H145" s="24"/>
      <c r="I145" s="24"/>
      <c r="J145" s="23" t="s">
        <v>632</v>
      </c>
      <c r="K145" s="614" t="s">
        <v>269</v>
      </c>
      <c r="L145" s="13"/>
      <c r="M145" s="666"/>
      <c r="N145" s="744"/>
      <c r="O145" s="8"/>
    </row>
    <row r="146" spans="2:18" ht="25" customHeight="1">
      <c r="B146" s="134" t="s">
        <v>499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2" t="s">
        <v>107</v>
      </c>
      <c r="K146" s="830">
        <f>NET_publicv4_SEK</f>
        <v>25</v>
      </c>
      <c r="M146" s="666"/>
      <c r="N146" s="744"/>
      <c r="O146" s="8"/>
    </row>
    <row r="147" spans="2:18" ht="25" customHeight="1">
      <c r="B147" s="137" t="s">
        <v>500</v>
      </c>
      <c r="C147" s="130" t="s">
        <v>109</v>
      </c>
      <c r="D147" s="130"/>
      <c r="E147" s="41" t="s">
        <v>106</v>
      </c>
      <c r="F147" s="773"/>
      <c r="G147" s="773"/>
      <c r="H147" s="773"/>
      <c r="I147" s="773"/>
      <c r="J147" s="774" t="s">
        <v>94</v>
      </c>
      <c r="K147" s="556">
        <f>NET_publicv6_SEK</f>
        <v>0</v>
      </c>
      <c r="M147" s="666"/>
      <c r="N147" s="744"/>
      <c r="O147" s="8"/>
    </row>
    <row r="148" spans="2:18" ht="25" customHeight="1">
      <c r="B148" s="134" t="s">
        <v>501</v>
      </c>
      <c r="C148" s="129" t="s">
        <v>296</v>
      </c>
      <c r="D148" s="129"/>
      <c r="E148" s="148"/>
      <c r="F148" s="37"/>
      <c r="G148" s="37"/>
      <c r="H148" s="37"/>
      <c r="I148" s="37"/>
      <c r="J148" s="772" t="s">
        <v>69</v>
      </c>
      <c r="K148" s="557">
        <f>NET_ingress_SEK</f>
        <v>0</v>
      </c>
      <c r="M148" s="666"/>
      <c r="N148" s="744"/>
      <c r="O148" s="8"/>
    </row>
    <row r="149" spans="2:18" ht="25" customHeight="1">
      <c r="B149" s="137" t="s">
        <v>502</v>
      </c>
      <c r="C149" s="130" t="s">
        <v>296</v>
      </c>
      <c r="D149" s="130"/>
      <c r="E149" s="41" t="s">
        <v>297</v>
      </c>
      <c r="F149" s="773"/>
      <c r="G149" s="773"/>
      <c r="H149" s="773"/>
      <c r="I149" s="773"/>
      <c r="J149" s="775" t="s">
        <v>69</v>
      </c>
      <c r="K149" s="556">
        <f>NET_egress_SEK</f>
        <v>0.25</v>
      </c>
      <c r="M149" s="666"/>
      <c r="N149" s="744"/>
      <c r="O149" s="8"/>
    </row>
    <row r="150" spans="2:18" ht="25" customHeight="1">
      <c r="B150" s="134" t="s">
        <v>503</v>
      </c>
      <c r="C150" s="129" t="s">
        <v>115</v>
      </c>
      <c r="D150" s="129"/>
      <c r="E150" s="30" t="s">
        <v>631</v>
      </c>
      <c r="F150" s="37"/>
      <c r="G150" s="37"/>
      <c r="H150" s="37"/>
      <c r="I150" s="37"/>
      <c r="J150" s="772" t="s">
        <v>240</v>
      </c>
      <c r="K150" s="557" t="s">
        <v>633</v>
      </c>
      <c r="M150" s="666"/>
    </row>
    <row r="151" spans="2:18" ht="25" customHeight="1">
      <c r="B151" s="137" t="s">
        <v>504</v>
      </c>
      <c r="C151" s="130" t="s">
        <v>118</v>
      </c>
      <c r="D151" s="130"/>
      <c r="E151" s="41"/>
      <c r="F151" s="773"/>
      <c r="G151" s="773"/>
      <c r="H151" s="773"/>
      <c r="I151" s="773"/>
      <c r="J151" s="774" t="s">
        <v>94</v>
      </c>
      <c r="K151" s="556">
        <f>NET_rdns_SEK</f>
        <v>0</v>
      </c>
      <c r="M151" s="666"/>
      <c r="N151" s="744"/>
      <c r="O151" s="8"/>
    </row>
    <row r="152" spans="2:18" ht="25" customHeight="1">
      <c r="B152" s="134" t="s">
        <v>505</v>
      </c>
      <c r="C152" s="129" t="s">
        <v>121</v>
      </c>
      <c r="D152" s="129"/>
      <c r="E152" s="30"/>
      <c r="F152" s="37"/>
      <c r="G152" s="37"/>
      <c r="H152" s="37"/>
      <c r="I152" s="37"/>
      <c r="J152" s="777" t="s">
        <v>94</v>
      </c>
      <c r="K152" s="557">
        <v>0</v>
      </c>
      <c r="M152" s="666"/>
      <c r="N152" s="744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58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C155" s="43"/>
      <c r="J155" s="43"/>
      <c r="M155" s="666"/>
      <c r="N155" s="744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78"/>
      <c r="M156" s="666"/>
      <c r="N156" s="744"/>
      <c r="O156" s="8"/>
    </row>
    <row r="157" spans="2:18" ht="25" customHeight="1">
      <c r="B157" s="630" t="s">
        <v>634</v>
      </c>
      <c r="M157" s="666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632</v>
      </c>
      <c r="K158" s="614" t="s">
        <v>269</v>
      </c>
      <c r="M158" s="666"/>
      <c r="N158" s="744"/>
      <c r="O158" s="8"/>
    </row>
    <row r="159" spans="2:18" ht="25" customHeight="1">
      <c r="B159" s="134" t="s">
        <v>506</v>
      </c>
      <c r="C159" s="129"/>
      <c r="D159" s="30"/>
      <c r="E159" s="30" t="s">
        <v>123</v>
      </c>
      <c r="F159" s="30"/>
      <c r="G159" s="30"/>
      <c r="H159" s="30"/>
      <c r="I159" s="30"/>
      <c r="J159" s="772" t="s">
        <v>10</v>
      </c>
      <c r="K159" s="830">
        <f>SW_win.ser.201X_SEK</f>
        <v>78</v>
      </c>
      <c r="L159" s="742"/>
      <c r="M159" s="666"/>
      <c r="N159" s="744"/>
      <c r="O159" s="8"/>
      <c r="Q159" s="677"/>
      <c r="R159" s="677"/>
    </row>
    <row r="160" spans="2:18" ht="25" customHeight="1">
      <c r="B160" s="137" t="s">
        <v>507</v>
      </c>
      <c r="C160" s="130"/>
      <c r="D160" s="38"/>
      <c r="E160" s="38" t="s">
        <v>125</v>
      </c>
      <c r="F160" s="773"/>
      <c r="G160" s="773"/>
      <c r="H160" s="773"/>
      <c r="I160" s="773"/>
      <c r="J160" s="775" t="s">
        <v>10</v>
      </c>
      <c r="K160" s="831">
        <f>SW_win.ser.201X_SEK</f>
        <v>78</v>
      </c>
      <c r="L160" s="742"/>
      <c r="M160" s="666"/>
      <c r="N160" s="744"/>
      <c r="O160" s="8"/>
      <c r="Q160" s="677"/>
      <c r="R160" s="677"/>
    </row>
    <row r="161" spans="2:18" ht="25" customHeight="1">
      <c r="B161" s="134" t="s">
        <v>663</v>
      </c>
      <c r="C161" s="129"/>
      <c r="D161" s="30"/>
      <c r="E161" s="30" t="s">
        <v>664</v>
      </c>
      <c r="F161" s="30"/>
      <c r="G161" s="30"/>
      <c r="H161" s="30"/>
      <c r="I161" s="30"/>
      <c r="J161" s="772" t="s">
        <v>10</v>
      </c>
      <c r="K161" s="830">
        <f>SW_win.ser.201X_SEK</f>
        <v>78</v>
      </c>
      <c r="L161" s="742"/>
      <c r="M161" s="666"/>
      <c r="N161" s="744"/>
      <c r="O161" s="8"/>
      <c r="Q161" s="677"/>
      <c r="R161" s="677"/>
    </row>
    <row r="162" spans="2:18" s="4" customFormat="1" ht="25" customHeight="1">
      <c r="B162" s="137" t="s">
        <v>508</v>
      </c>
      <c r="C162" s="130"/>
      <c r="D162" s="38"/>
      <c r="E162" s="38" t="s">
        <v>417</v>
      </c>
      <c r="F162" s="773"/>
      <c r="G162" s="773"/>
      <c r="H162" s="773"/>
      <c r="I162" s="773"/>
      <c r="J162" s="775" t="s">
        <v>10</v>
      </c>
      <c r="K162" s="831">
        <f>SW_ms.sql.ser_SEK</f>
        <v>1498</v>
      </c>
      <c r="M162" s="666"/>
      <c r="N162" s="744"/>
      <c r="O162" s="8"/>
    </row>
    <row r="163" spans="2:18" ht="25" customHeight="1">
      <c r="B163" s="134" t="s">
        <v>509</v>
      </c>
      <c r="C163" s="129"/>
      <c r="D163" s="30"/>
      <c r="E163" s="30" t="s">
        <v>131</v>
      </c>
      <c r="F163" s="30"/>
      <c r="G163" s="30"/>
      <c r="H163" s="30"/>
      <c r="I163" s="30"/>
      <c r="J163" s="772" t="s">
        <v>94</v>
      </c>
      <c r="K163" s="830" t="s">
        <v>633</v>
      </c>
      <c r="L163" s="742"/>
      <c r="M163" s="666"/>
      <c r="N163" s="744"/>
      <c r="O163" s="8"/>
      <c r="Q163" s="677"/>
      <c r="R163" s="677"/>
    </row>
    <row r="164" spans="2:18" s="4" customFormat="1" ht="25" customHeight="1">
      <c r="B164" s="137" t="s">
        <v>510</v>
      </c>
      <c r="C164" s="130"/>
      <c r="D164" s="38"/>
      <c r="E164" s="38" t="s">
        <v>133</v>
      </c>
      <c r="F164" s="773"/>
      <c r="G164" s="773"/>
      <c r="H164" s="773"/>
      <c r="I164" s="773"/>
      <c r="J164" s="775" t="s">
        <v>94</v>
      </c>
      <c r="K164" s="831" t="s">
        <v>633</v>
      </c>
      <c r="M164" s="666"/>
      <c r="N164" s="744"/>
      <c r="O164" s="8"/>
    </row>
    <row r="165" spans="2:18" ht="25" customHeight="1">
      <c r="B165" s="134" t="s">
        <v>511</v>
      </c>
      <c r="C165" s="129"/>
      <c r="D165" s="30"/>
      <c r="E165" s="30" t="s">
        <v>135</v>
      </c>
      <c r="F165" s="30"/>
      <c r="G165" s="30"/>
      <c r="H165" s="30"/>
      <c r="I165" s="30"/>
      <c r="J165" s="772" t="s">
        <v>94</v>
      </c>
      <c r="K165" s="830" t="str">
        <f>SW_cluster.control_SEK</f>
        <v>3x instanspris</v>
      </c>
      <c r="M165" s="666"/>
      <c r="N165" s="744"/>
      <c r="O165" s="8"/>
    </row>
    <row r="166" spans="2:18" ht="25" customHeight="1">
      <c r="B166" s="137" t="s">
        <v>512</v>
      </c>
      <c r="C166" s="130"/>
      <c r="D166" s="38"/>
      <c r="E166" s="38" t="s">
        <v>137</v>
      </c>
      <c r="F166" s="773"/>
      <c r="G166" s="773"/>
      <c r="H166" s="773"/>
      <c r="I166" s="773"/>
      <c r="J166" s="775" t="s">
        <v>138</v>
      </c>
      <c r="K166" s="831">
        <f>SW_backup.ninja_SEK</f>
        <v>400</v>
      </c>
      <c r="M166" s="666"/>
      <c r="N166" s="744"/>
      <c r="O166" s="8"/>
    </row>
    <row r="167" spans="2:18" ht="25" customHeight="1">
      <c r="B167" s="106"/>
      <c r="C167" s="103"/>
      <c r="D167" s="104"/>
      <c r="E167" s="105"/>
      <c r="F167" s="779"/>
      <c r="G167" s="779"/>
      <c r="H167" s="779"/>
      <c r="I167" s="779"/>
      <c r="J167" s="780"/>
      <c r="K167" s="859"/>
      <c r="M167" s="666"/>
      <c r="N167" s="744"/>
      <c r="O167" s="8"/>
    </row>
    <row r="168" spans="2:18" ht="25" customHeight="1">
      <c r="B168" s="137"/>
      <c r="C168" s="130"/>
      <c r="D168" s="41"/>
      <c r="E168" s="31"/>
      <c r="F168" s="773"/>
      <c r="G168" s="773"/>
      <c r="H168" s="773"/>
      <c r="I168" s="773"/>
      <c r="J168" s="781"/>
      <c r="K168" s="556"/>
      <c r="M168" s="666"/>
      <c r="N168" s="744"/>
      <c r="O168" s="8"/>
    </row>
    <row r="169" spans="2:18" ht="25" customHeight="1">
      <c r="M169" s="666"/>
      <c r="N169" s="744"/>
      <c r="O169" s="8"/>
    </row>
    <row r="170" spans="2:18" ht="25" customHeight="1">
      <c r="B170" s="651" t="s">
        <v>635</v>
      </c>
      <c r="C170" s="13"/>
      <c r="D170" s="13"/>
      <c r="F170" s="13"/>
      <c r="G170" s="13"/>
      <c r="H170" s="13"/>
      <c r="I170" s="13"/>
      <c r="J170" s="13"/>
      <c r="M170" s="666"/>
      <c r="N170" s="744"/>
      <c r="O170" s="8"/>
    </row>
    <row r="171" spans="2:18" ht="25" customHeight="1">
      <c r="B171" s="630" t="s">
        <v>636</v>
      </c>
      <c r="M171" s="666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66"/>
      <c r="N172" s="744"/>
      <c r="O172" s="8"/>
    </row>
    <row r="173" spans="2:18" ht="25" customHeight="1">
      <c r="B173" s="134" t="s">
        <v>498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0" t="s">
        <v>633</v>
      </c>
      <c r="M173" s="666"/>
      <c r="N173" s="744"/>
      <c r="O173" s="8"/>
    </row>
    <row r="174" spans="2:18" ht="25" customHeight="1">
      <c r="B174" s="137" t="s">
        <v>513</v>
      </c>
      <c r="C174" s="130"/>
      <c r="D174" s="38"/>
      <c r="E174" s="38" t="s">
        <v>415</v>
      </c>
      <c r="F174" s="773"/>
      <c r="G174" s="773"/>
      <c r="H174" s="773"/>
      <c r="I174" s="773"/>
      <c r="J174" s="781"/>
      <c r="K174" s="831" t="s">
        <v>633</v>
      </c>
      <c r="M174" s="666"/>
      <c r="N174" s="744"/>
      <c r="O174" s="8"/>
    </row>
    <row r="175" spans="2:18" ht="25" customHeight="1">
      <c r="B175" s="134" t="s">
        <v>514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633</v>
      </c>
      <c r="M175" s="666"/>
      <c r="N175" s="744"/>
      <c r="O175" s="8"/>
    </row>
    <row r="176" spans="2:18" ht="25" customHeight="1">
      <c r="B176" s="137" t="s">
        <v>515</v>
      </c>
      <c r="C176" s="130"/>
      <c r="D176" s="38"/>
      <c r="E176" s="38" t="s">
        <v>436</v>
      </c>
      <c r="F176" s="773"/>
      <c r="G176" s="773"/>
      <c r="H176" s="773"/>
      <c r="I176" s="773"/>
      <c r="J176" s="781"/>
      <c r="K176" s="556">
        <f>PAAS_openshift_SEK</f>
        <v>0</v>
      </c>
      <c r="M176" s="666"/>
      <c r="N176" s="744"/>
      <c r="O176" s="8"/>
    </row>
    <row r="177" spans="2:20" ht="25" customHeight="1">
      <c r="B177" s="134" t="s">
        <v>516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633</v>
      </c>
      <c r="M177" s="666"/>
      <c r="N177" s="744"/>
      <c r="O177" s="8"/>
    </row>
    <row r="178" spans="2:20" ht="25" customHeight="1">
      <c r="B178" s="137" t="s">
        <v>517</v>
      </c>
      <c r="C178" s="130"/>
      <c r="D178" s="38"/>
      <c r="E178" s="38" t="s">
        <v>150</v>
      </c>
      <c r="F178" s="773"/>
      <c r="G178" s="773"/>
      <c r="H178" s="773"/>
      <c r="I178" s="773"/>
      <c r="J178" s="781"/>
      <c r="K178" s="556" t="s">
        <v>633</v>
      </c>
      <c r="M178" s="666"/>
      <c r="N178" s="744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633</v>
      </c>
      <c r="M179" s="666"/>
      <c r="N179" s="744"/>
      <c r="O179" s="8"/>
    </row>
    <row r="180" spans="2:20" ht="25" customHeight="1">
      <c r="B180" s="106"/>
      <c r="C180" s="103"/>
      <c r="D180" s="397"/>
      <c r="E180" s="105"/>
      <c r="F180" s="779"/>
      <c r="G180" s="779"/>
      <c r="H180" s="779"/>
      <c r="I180" s="779"/>
      <c r="J180" s="780"/>
      <c r="K180" s="859"/>
      <c r="M180" s="666"/>
      <c r="N180" s="744"/>
      <c r="O180" s="8"/>
    </row>
    <row r="181" spans="2:20" ht="25" customHeight="1">
      <c r="B181" s="137"/>
      <c r="C181" s="130"/>
      <c r="D181" s="38"/>
      <c r="E181" s="31"/>
      <c r="F181" s="773"/>
      <c r="G181" s="781"/>
      <c r="H181" s="775"/>
      <c r="I181" s="441"/>
      <c r="M181" s="666"/>
    </row>
    <row r="182" spans="2:20" ht="25" customHeight="1">
      <c r="B182" s="417"/>
      <c r="C182" s="26"/>
      <c r="D182" s="26"/>
      <c r="E182" s="26"/>
      <c r="F182" s="762"/>
      <c r="G182" s="763"/>
      <c r="H182" s="26"/>
      <c r="I182" s="742"/>
      <c r="J182" s="742"/>
      <c r="K182" s="848"/>
      <c r="L182" s="744"/>
      <c r="M182" s="666"/>
      <c r="N182" s="677"/>
      <c r="O182" s="677"/>
    </row>
    <row r="183" spans="2:20" s="4" customFormat="1" ht="25" customHeight="1">
      <c r="B183" s="940" t="s">
        <v>300</v>
      </c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40"/>
      <c r="C185" s="940"/>
      <c r="D185" s="940"/>
      <c r="E185" s="940"/>
      <c r="F185" s="940"/>
      <c r="G185" s="940"/>
      <c r="H185" s="782"/>
      <c r="J185" s="676"/>
      <c r="K185" s="835"/>
      <c r="M185" s="666"/>
    </row>
    <row r="186" spans="2:20" s="4" customFormat="1" ht="25" customHeight="1">
      <c r="B186" s="961" t="s">
        <v>637</v>
      </c>
      <c r="C186" s="961"/>
      <c r="D186" s="961"/>
      <c r="E186" s="961"/>
      <c r="F186" s="961"/>
      <c r="H186" s="782"/>
      <c r="J186" s="676"/>
      <c r="K186" s="835"/>
      <c r="M186" s="666"/>
    </row>
    <row r="187" spans="2:20" s="4" customFormat="1" ht="25" customHeight="1">
      <c r="B187" s="956" t="s">
        <v>420</v>
      </c>
      <c r="C187" s="956"/>
      <c r="D187" s="956"/>
      <c r="E187" s="956"/>
      <c r="F187" s="956"/>
      <c r="G187" s="679"/>
      <c r="H187" s="680"/>
      <c r="I187" s="679"/>
      <c r="J187" s="681"/>
      <c r="K187" s="836"/>
      <c r="L187" s="679"/>
      <c r="M187" s="666"/>
    </row>
    <row r="188" spans="2:20" s="4" customFormat="1" ht="25" customHeight="1">
      <c r="B188" s="465"/>
      <c r="C188" s="133"/>
      <c r="D188" s="133"/>
      <c r="E188" s="133"/>
      <c r="F188" s="133"/>
      <c r="G188" s="679"/>
      <c r="H188" s="680"/>
      <c r="I188" s="679"/>
      <c r="J188" s="681"/>
      <c r="K188" s="836"/>
      <c r="L188" s="679"/>
      <c r="M188" s="666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60"/>
      <c r="L189" s="13"/>
      <c r="M189" s="666"/>
      <c r="O189" s="744"/>
      <c r="P189" s="744"/>
      <c r="Q189" s="8"/>
      <c r="S189" s="677"/>
      <c r="T189" s="677"/>
    </row>
    <row r="190" spans="2:20" ht="25" customHeight="1">
      <c r="B190" s="630" t="s">
        <v>638</v>
      </c>
      <c r="M190" s="666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632</v>
      </c>
      <c r="J191" s="23"/>
      <c r="K191" s="614" t="s">
        <v>92</v>
      </c>
      <c r="L191" s="742"/>
      <c r="M191" s="666"/>
      <c r="N191" s="744"/>
      <c r="O191" s="8"/>
      <c r="Q191" s="677"/>
      <c r="R191" s="677"/>
    </row>
    <row r="192" spans="2:20" ht="25" customHeight="1">
      <c r="B192" s="134" t="s">
        <v>518</v>
      </c>
      <c r="C192" s="129"/>
      <c r="D192" s="30" t="s">
        <v>421</v>
      </c>
      <c r="E192" s="40"/>
      <c r="F192" s="30"/>
      <c r="G192" s="40"/>
      <c r="H192" s="40"/>
      <c r="I192" s="777" t="s">
        <v>94</v>
      </c>
      <c r="J192" s="777"/>
      <c r="K192" s="557">
        <v>0</v>
      </c>
      <c r="L192" s="742"/>
      <c r="M192" s="666"/>
      <c r="N192" s="744"/>
      <c r="O192" s="8"/>
      <c r="Q192" s="677"/>
      <c r="R192" s="677"/>
    </row>
    <row r="193" spans="2:18" ht="25" customHeight="1">
      <c r="B193" s="137" t="s">
        <v>519</v>
      </c>
      <c r="C193" s="130"/>
      <c r="D193" s="38" t="s">
        <v>156</v>
      </c>
      <c r="E193" s="31"/>
      <c r="F193" s="773"/>
      <c r="G193" s="781"/>
      <c r="H193" s="781"/>
      <c r="I193" s="775" t="s">
        <v>245</v>
      </c>
      <c r="J193" s="775"/>
      <c r="K193" s="556" t="s">
        <v>639</v>
      </c>
      <c r="L193" s="742"/>
      <c r="M193" s="666"/>
      <c r="N193" s="744"/>
      <c r="O193" s="8"/>
      <c r="Q193" s="677"/>
      <c r="R193" s="677"/>
    </row>
    <row r="194" spans="2:18" ht="25" customHeight="1">
      <c r="B194" s="134" t="s">
        <v>520</v>
      </c>
      <c r="C194" s="129"/>
      <c r="D194" s="30" t="s">
        <v>160</v>
      </c>
      <c r="E194" s="129"/>
      <c r="F194" s="129"/>
      <c r="G194" s="129"/>
      <c r="H194" s="40"/>
      <c r="I194" s="772" t="s">
        <v>247</v>
      </c>
      <c r="J194" s="772"/>
      <c r="K194" s="557" t="s">
        <v>633</v>
      </c>
      <c r="L194" s="742"/>
      <c r="M194" s="666"/>
      <c r="N194" s="744"/>
      <c r="O194" s="8"/>
      <c r="Q194" s="677"/>
      <c r="R194" s="677"/>
    </row>
    <row r="195" spans="2:18" ht="25" customHeight="1">
      <c r="B195" s="106"/>
      <c r="C195" s="103"/>
      <c r="D195" s="103"/>
      <c r="E195" s="105"/>
      <c r="F195" s="779"/>
      <c r="G195" s="780"/>
      <c r="H195" s="780"/>
      <c r="I195" s="783"/>
      <c r="J195" s="783"/>
      <c r="K195" s="859"/>
      <c r="L195" s="742"/>
      <c r="M195" s="666"/>
      <c r="N195" s="744"/>
      <c r="O195" s="8"/>
      <c r="Q195" s="677"/>
      <c r="R195" s="677"/>
    </row>
    <row r="196" spans="2:18" ht="25" customHeight="1">
      <c r="B196" s="137"/>
      <c r="C196" s="130"/>
      <c r="D196" s="38"/>
      <c r="E196" s="31"/>
      <c r="F196" s="773"/>
      <c r="G196" s="781"/>
      <c r="H196" s="781"/>
      <c r="I196" s="775"/>
      <c r="J196" s="775"/>
      <c r="K196" s="556"/>
      <c r="L196" s="742"/>
      <c r="M196" s="666"/>
      <c r="N196" s="744"/>
      <c r="O196" s="8"/>
      <c r="Q196" s="677"/>
      <c r="R196" s="677"/>
    </row>
    <row r="197" spans="2:18" s="653" customFormat="1" ht="25" customHeight="1">
      <c r="B197" s="651" t="s">
        <v>640</v>
      </c>
      <c r="C197" s="880"/>
      <c r="D197" s="880"/>
      <c r="F197" s="880"/>
      <c r="G197" s="880"/>
      <c r="H197" s="880"/>
      <c r="I197" s="881"/>
      <c r="J197" s="881"/>
      <c r="K197" s="706"/>
      <c r="L197" s="882"/>
      <c r="M197" s="666"/>
      <c r="N197" s="883"/>
      <c r="O197" s="884"/>
      <c r="Q197" s="884"/>
      <c r="R197" s="884"/>
    </row>
    <row r="198" spans="2:18" ht="25" customHeight="1">
      <c r="B198" s="630" t="s">
        <v>641</v>
      </c>
      <c r="M198" s="666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632</v>
      </c>
      <c r="J199" s="23"/>
      <c r="K199" s="614" t="s">
        <v>92</v>
      </c>
      <c r="L199" s="742"/>
      <c r="M199" s="666"/>
      <c r="N199" s="744"/>
      <c r="O199" s="8"/>
      <c r="Q199" s="677"/>
      <c r="R199" s="677"/>
    </row>
    <row r="200" spans="2:18" ht="25" customHeight="1">
      <c r="B200" s="134" t="s">
        <v>521</v>
      </c>
      <c r="C200" s="129"/>
      <c r="D200" s="30" t="s">
        <v>166</v>
      </c>
      <c r="E200" s="40"/>
      <c r="F200" s="30"/>
      <c r="G200" s="40"/>
      <c r="H200" s="40"/>
      <c r="I200" s="772" t="s">
        <v>247</v>
      </c>
      <c r="J200" s="772"/>
      <c r="K200" s="631">
        <f>PS_consult.jun_SEK</f>
        <v>1127</v>
      </c>
      <c r="L200" s="742"/>
      <c r="M200" s="666"/>
      <c r="N200" s="744"/>
      <c r="O200" s="8"/>
      <c r="Q200" s="677"/>
      <c r="R200" s="677"/>
    </row>
    <row r="201" spans="2:18" ht="25" customHeight="1">
      <c r="B201" s="137" t="s">
        <v>522</v>
      </c>
      <c r="C201" s="130"/>
      <c r="D201" s="38" t="s">
        <v>168</v>
      </c>
      <c r="E201" s="31"/>
      <c r="F201" s="773"/>
      <c r="G201" s="781"/>
      <c r="H201" s="781"/>
      <c r="I201" s="775" t="s">
        <v>247</v>
      </c>
      <c r="J201" s="775"/>
      <c r="K201" s="869">
        <f>PS_consult.sen_SEK</f>
        <v>1374</v>
      </c>
      <c r="L201" s="742"/>
      <c r="M201" s="666"/>
      <c r="N201" s="744"/>
      <c r="O201" s="8"/>
      <c r="Q201" s="677"/>
      <c r="R201" s="677"/>
    </row>
    <row r="202" spans="2:18" ht="25" customHeight="1">
      <c r="B202" s="134" t="s">
        <v>523</v>
      </c>
      <c r="C202" s="129"/>
      <c r="D202" s="30" t="s">
        <v>170</v>
      </c>
      <c r="E202" s="40"/>
      <c r="F202" s="30"/>
      <c r="G202" s="40"/>
      <c r="H202" s="40"/>
      <c r="I202" s="772" t="s">
        <v>247</v>
      </c>
      <c r="J202" s="772"/>
      <c r="K202" s="631">
        <f>PS_cloudarch.jun_SEK</f>
        <v>1277</v>
      </c>
      <c r="L202" s="742"/>
      <c r="M202" s="666"/>
      <c r="N202" s="744"/>
      <c r="O202" s="8"/>
      <c r="Q202" s="677"/>
      <c r="R202" s="677"/>
    </row>
    <row r="203" spans="2:18" ht="25" customHeight="1">
      <c r="B203" s="137" t="s">
        <v>524</v>
      </c>
      <c r="C203" s="130"/>
      <c r="D203" s="38" t="s">
        <v>172</v>
      </c>
      <c r="E203" s="38"/>
      <c r="F203" s="38"/>
      <c r="G203" s="781"/>
      <c r="H203" s="781"/>
      <c r="I203" s="775" t="s">
        <v>247</v>
      </c>
      <c r="J203" s="775"/>
      <c r="K203" s="869">
        <f>PS_cloudarch.sen_SEK</f>
        <v>1374</v>
      </c>
      <c r="L203" s="742"/>
      <c r="M203" s="666"/>
      <c r="N203" s="744"/>
      <c r="O203" s="8"/>
      <c r="Q203" s="677"/>
      <c r="R203" s="677"/>
    </row>
    <row r="204" spans="2:18" ht="25" customHeight="1">
      <c r="B204" s="134" t="s">
        <v>525</v>
      </c>
      <c r="C204" s="129"/>
      <c r="D204" s="30" t="s">
        <v>174</v>
      </c>
      <c r="E204" s="40"/>
      <c r="F204" s="30"/>
      <c r="G204" s="40"/>
      <c r="H204" s="40"/>
      <c r="I204" s="772" t="s">
        <v>247</v>
      </c>
      <c r="J204" s="772"/>
      <c r="K204" s="631">
        <f>PS_pm.jun_SEK</f>
        <v>1139</v>
      </c>
      <c r="L204" s="742"/>
      <c r="M204" s="666"/>
      <c r="N204" s="744"/>
      <c r="O204" s="8"/>
      <c r="Q204" s="677"/>
      <c r="R204" s="677"/>
    </row>
    <row r="205" spans="2:18" ht="25" customHeight="1">
      <c r="B205" s="137" t="s">
        <v>526</v>
      </c>
      <c r="C205" s="130"/>
      <c r="D205" s="38" t="s">
        <v>176</v>
      </c>
      <c r="E205" s="31"/>
      <c r="F205" s="773"/>
      <c r="G205" s="781"/>
      <c r="H205" s="781"/>
      <c r="I205" s="775" t="s">
        <v>247</v>
      </c>
      <c r="J205" s="775"/>
      <c r="K205" s="869">
        <f>PS_pm.sen_SEK</f>
        <v>1374</v>
      </c>
      <c r="L205" s="742"/>
      <c r="M205" s="666"/>
      <c r="N205" s="744"/>
      <c r="O205" s="8"/>
      <c r="Q205" s="677"/>
      <c r="R205" s="677"/>
    </row>
    <row r="206" spans="2:18" ht="25" customHeight="1">
      <c r="B206" s="106"/>
      <c r="C206" s="103"/>
      <c r="D206" s="397"/>
      <c r="E206" s="105"/>
      <c r="F206" s="779"/>
      <c r="G206" s="780"/>
      <c r="H206" s="780"/>
      <c r="I206" s="783"/>
      <c r="J206" s="783"/>
      <c r="K206" s="859"/>
      <c r="L206" s="742"/>
      <c r="M206" s="666"/>
      <c r="N206" s="744"/>
      <c r="O206" s="8"/>
      <c r="Q206" s="677"/>
      <c r="R206" s="677"/>
    </row>
    <row r="207" spans="2:18" ht="25" customHeight="1">
      <c r="B207" s="137"/>
      <c r="C207" s="130"/>
      <c r="D207" s="38"/>
      <c r="E207" s="31"/>
      <c r="F207" s="773"/>
      <c r="G207" s="781"/>
      <c r="H207" s="781"/>
      <c r="I207" s="775"/>
      <c r="J207" s="775"/>
      <c r="K207" s="556"/>
      <c r="M207" s="666"/>
      <c r="N207" s="744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78"/>
      <c r="J208" s="778"/>
      <c r="L208" s="742"/>
      <c r="M208" s="666"/>
      <c r="N208" s="744"/>
      <c r="O208" s="8"/>
      <c r="Q208" s="677"/>
      <c r="R208" s="677"/>
    </row>
    <row r="209" spans="1:18" ht="25" customHeight="1">
      <c r="B209" s="630" t="s">
        <v>642</v>
      </c>
      <c r="M209" s="666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632</v>
      </c>
      <c r="J210" s="23"/>
      <c r="K210" s="614" t="s">
        <v>92</v>
      </c>
      <c r="L210" s="742"/>
      <c r="M210" s="666"/>
      <c r="N210" s="744"/>
      <c r="O210" s="8"/>
      <c r="Q210" s="677"/>
      <c r="R210" s="677"/>
    </row>
    <row r="211" spans="1:18" ht="25" customHeight="1">
      <c r="B211" s="134" t="s">
        <v>527</v>
      </c>
      <c r="C211" s="129"/>
      <c r="D211" s="30" t="s">
        <v>253</v>
      </c>
      <c r="E211" s="40"/>
      <c r="F211" s="30"/>
      <c r="G211" s="772" t="s">
        <v>254</v>
      </c>
      <c r="H211" s="772"/>
      <c r="I211" s="772" t="s">
        <v>308</v>
      </c>
      <c r="J211" s="772"/>
      <c r="K211" s="557" t="s">
        <v>633</v>
      </c>
      <c r="L211" s="742"/>
      <c r="M211" s="666"/>
      <c r="N211" s="744"/>
      <c r="O211" s="8"/>
      <c r="Q211" s="677"/>
      <c r="R211" s="677"/>
    </row>
    <row r="212" spans="1:18" ht="25" customHeight="1">
      <c r="B212" s="137" t="s">
        <v>528</v>
      </c>
      <c r="C212" s="130"/>
      <c r="D212" s="38" t="s">
        <v>256</v>
      </c>
      <c r="E212" s="31"/>
      <c r="F212" s="773"/>
      <c r="G212" s="775" t="s">
        <v>254</v>
      </c>
      <c r="H212" s="775"/>
      <c r="I212" s="775" t="s">
        <v>308</v>
      </c>
      <c r="J212" s="775"/>
      <c r="K212" s="556" t="s">
        <v>633</v>
      </c>
      <c r="L212" s="742"/>
      <c r="M212" s="666"/>
      <c r="N212" s="744"/>
      <c r="O212" s="8"/>
      <c r="Q212" s="677"/>
      <c r="R212" s="677"/>
    </row>
    <row r="213" spans="1:18" ht="25" customHeight="1">
      <c r="B213" s="134" t="s">
        <v>529</v>
      </c>
      <c r="C213" s="129"/>
      <c r="D213" s="30" t="s">
        <v>257</v>
      </c>
      <c r="E213" s="40"/>
      <c r="F213" s="30"/>
      <c r="G213" s="772" t="s">
        <v>643</v>
      </c>
      <c r="H213" s="772"/>
      <c r="I213" s="772" t="s">
        <v>308</v>
      </c>
      <c r="J213" s="772"/>
      <c r="K213" s="557" t="s">
        <v>633</v>
      </c>
      <c r="L213" s="742"/>
      <c r="M213" s="666"/>
      <c r="N213" s="744"/>
      <c r="O213" s="8"/>
      <c r="Q213" s="677"/>
      <c r="R213" s="677"/>
    </row>
    <row r="214" spans="1:18" ht="25" customHeight="1">
      <c r="B214" s="137" t="s">
        <v>530</v>
      </c>
      <c r="C214" s="130"/>
      <c r="D214" s="38" t="s">
        <v>259</v>
      </c>
      <c r="E214" s="31"/>
      <c r="F214" s="773"/>
      <c r="G214" s="775" t="s">
        <v>643</v>
      </c>
      <c r="H214" s="775"/>
      <c r="I214" s="775" t="s">
        <v>308</v>
      </c>
      <c r="J214" s="775"/>
      <c r="K214" s="556" t="s">
        <v>633</v>
      </c>
      <c r="L214" s="742"/>
      <c r="M214" s="666"/>
      <c r="N214" s="744"/>
      <c r="O214" s="8"/>
      <c r="Q214" s="677"/>
      <c r="R214" s="677"/>
    </row>
    <row r="215" spans="1:18" ht="25" customHeight="1">
      <c r="B215" s="106"/>
      <c r="C215" s="103"/>
      <c r="D215" s="397"/>
      <c r="E215" s="105"/>
      <c r="F215" s="779"/>
      <c r="G215" s="780"/>
      <c r="H215" s="780"/>
      <c r="I215" s="780"/>
      <c r="J215" s="780"/>
      <c r="K215" s="859"/>
      <c r="L215" s="742"/>
      <c r="M215" s="666"/>
      <c r="N215" s="744"/>
      <c r="O215" s="8"/>
      <c r="Q215" s="677"/>
      <c r="R215" s="677"/>
    </row>
    <row r="216" spans="1:18" ht="25" customHeight="1">
      <c r="B216" s="417"/>
      <c r="C216" s="26"/>
      <c r="D216" s="26"/>
      <c r="E216" s="26"/>
      <c r="F216" s="762"/>
      <c r="G216" s="763"/>
      <c r="H216" s="742"/>
      <c r="I216" s="742"/>
      <c r="J216" s="742"/>
      <c r="K216" s="849"/>
      <c r="L216" s="744"/>
      <c r="M216" s="666"/>
      <c r="N216" s="677"/>
      <c r="O216" s="677"/>
    </row>
    <row r="217" spans="1:18" ht="25" customHeight="1">
      <c r="A217" s="771"/>
      <c r="B217" s="642"/>
      <c r="C217" s="60"/>
      <c r="D217" s="60"/>
      <c r="E217" s="60"/>
      <c r="F217" s="784"/>
      <c r="G217" s="785"/>
      <c r="H217" s="786"/>
      <c r="I217" s="787"/>
      <c r="J217" s="788"/>
      <c r="K217" s="861"/>
      <c r="L217" s="789"/>
      <c r="M217" s="666"/>
      <c r="N217" s="677"/>
      <c r="O217" s="677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643"/>
      <c r="C220" s="54"/>
      <c r="D220" s="54"/>
      <c r="E220" s="54"/>
      <c r="F220" s="790"/>
      <c r="G220" s="791"/>
      <c r="H220" s="792"/>
      <c r="I220" s="793"/>
      <c r="J220" s="794"/>
      <c r="K220" s="862"/>
      <c r="L220" s="3"/>
      <c r="M220" s="666"/>
    </row>
    <row r="221" spans="1:18" s="4" customFormat="1" ht="25" customHeight="1">
      <c r="A221" s="3"/>
      <c r="B221" s="959" t="s">
        <v>313</v>
      </c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59"/>
      <c r="C223" s="959"/>
      <c r="D223" s="959"/>
      <c r="E223" s="959"/>
      <c r="F223" s="959"/>
      <c r="G223" s="959"/>
      <c r="H223" s="668"/>
      <c r="I223" s="795"/>
      <c r="J223" s="3"/>
      <c r="K223" s="833"/>
      <c r="L223" s="3"/>
      <c r="M223" s="666"/>
    </row>
    <row r="224" spans="1:18" s="4" customFormat="1" ht="25" customHeight="1">
      <c r="A224" s="3"/>
      <c r="B224" s="960" t="s">
        <v>606</v>
      </c>
      <c r="C224" s="960"/>
      <c r="D224" s="960"/>
      <c r="E224" s="960"/>
      <c r="F224" s="960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22" t="s">
        <v>644</v>
      </c>
      <c r="C226" s="62"/>
      <c r="D226" s="62"/>
      <c r="E226" s="62"/>
      <c r="F226" s="62"/>
      <c r="G226" s="3"/>
      <c r="H226" s="668"/>
      <c r="I226" s="795"/>
      <c r="J226" s="3"/>
      <c r="K226" s="833"/>
      <c r="L226" s="796"/>
      <c r="M226" s="666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68"/>
      <c r="I227" s="3"/>
      <c r="J227" s="669"/>
      <c r="K227" s="833"/>
      <c r="L227" s="796"/>
      <c r="M227" s="666"/>
    </row>
    <row r="228" spans="1:20" s="4" customFormat="1" ht="25" customHeight="1">
      <c r="A228" s="3"/>
      <c r="B228" s="931" t="s">
        <v>3</v>
      </c>
      <c r="C228" s="67"/>
      <c r="D228" s="67"/>
      <c r="E228" s="67"/>
      <c r="F228" s="67"/>
      <c r="G228" s="796"/>
      <c r="H228" s="797"/>
      <c r="I228" s="796"/>
      <c r="J228" s="798"/>
      <c r="K228" s="863"/>
      <c r="L228" s="796"/>
      <c r="M228" s="666"/>
    </row>
    <row r="229" spans="1:20" s="717" customFormat="1" ht="25" customHeight="1">
      <c r="A229" s="799"/>
      <c r="B229" s="885"/>
      <c r="C229" s="135"/>
      <c r="D229" s="135"/>
      <c r="E229" s="135"/>
      <c r="F229" s="135"/>
      <c r="G229" s="796"/>
      <c r="H229" s="797"/>
      <c r="I229" s="796"/>
      <c r="J229" s="798"/>
      <c r="K229" s="863"/>
      <c r="L229" s="799"/>
      <c r="M229" s="666"/>
      <c r="N229" s="800"/>
      <c r="O229" s="731"/>
      <c r="P229" s="731"/>
      <c r="Q229" s="731"/>
      <c r="R229" s="731"/>
      <c r="S229" s="731"/>
      <c r="T229" s="731"/>
    </row>
    <row r="230" spans="1:20" ht="25" customHeight="1">
      <c r="A230" s="2"/>
      <c r="B230" s="644" t="s">
        <v>532</v>
      </c>
      <c r="C230" s="56"/>
      <c r="D230" s="57"/>
      <c r="E230" s="56"/>
      <c r="F230" s="661"/>
      <c r="G230" s="661"/>
      <c r="H230" s="661"/>
      <c r="I230" s="56"/>
      <c r="J230" s="661" t="s">
        <v>313</v>
      </c>
      <c r="K230" s="864"/>
      <c r="L230" s="801"/>
      <c r="M230" s="666"/>
      <c r="N230" s="28"/>
    </row>
    <row r="231" spans="1:20" ht="25" customHeight="1">
      <c r="A231" s="2"/>
      <c r="B231" s="829" t="s">
        <v>4</v>
      </c>
      <c r="C231" s="65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58"/>
      <c r="F231" s="658"/>
      <c r="G231" s="659"/>
      <c r="H231" s="802"/>
      <c r="I231" s="803"/>
      <c r="J231" s="662">
        <f>K64+K73+K55+K38+K82</f>
        <v>0</v>
      </c>
      <c r="K231" s="830"/>
      <c r="L231" s="2"/>
      <c r="M231" s="666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0"/>
      <c r="E232" s="660"/>
      <c r="F232" s="804"/>
      <c r="G232" s="805"/>
      <c r="H232" s="805"/>
      <c r="I232" s="806"/>
      <c r="J232" s="663">
        <f>K95</f>
        <v>0</v>
      </c>
      <c r="K232" s="830"/>
      <c r="L232" s="2"/>
      <c r="M232" s="666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04"/>
      <c r="G233" s="805"/>
      <c r="H233" s="805"/>
      <c r="I233" s="806"/>
      <c r="J233" s="663">
        <f>K119</f>
        <v>0</v>
      </c>
      <c r="K233" s="830"/>
      <c r="L233" s="2"/>
      <c r="M233" s="666"/>
      <c r="N233" s="28"/>
    </row>
    <row r="234" spans="1:20" s="810" customFormat="1" ht="25" customHeight="1">
      <c r="A234" s="808"/>
      <c r="B234" s="939" t="s">
        <v>222</v>
      </c>
      <c r="C234" s="664"/>
      <c r="D234" s="664"/>
      <c r="E234" s="664"/>
      <c r="F234" s="664"/>
      <c r="G234" s="664"/>
      <c r="H234" s="664"/>
      <c r="I234" s="664"/>
      <c r="J234" s="664">
        <f>SUM(J231:J233)</f>
        <v>0</v>
      </c>
      <c r="K234" s="865"/>
      <c r="L234" s="808"/>
      <c r="M234" s="666"/>
    </row>
    <row r="235" spans="1:20" ht="25" customHeight="1">
      <c r="A235" s="2"/>
      <c r="B235" s="421"/>
      <c r="C235" s="59"/>
      <c r="D235" s="59"/>
      <c r="E235" s="59"/>
      <c r="F235" s="811"/>
      <c r="G235" s="812"/>
      <c r="H235" s="812"/>
      <c r="I235" s="813"/>
      <c r="J235" s="813"/>
      <c r="K235" s="866"/>
      <c r="L235" s="2"/>
      <c r="M235" s="666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76"/>
      <c r="J236" s="736"/>
      <c r="K236" s="830"/>
      <c r="L236" s="2"/>
      <c r="M236" s="666"/>
    </row>
    <row r="237" spans="1:20" ht="25" customHeight="1">
      <c r="A237" s="814"/>
      <c r="B237" s="646"/>
      <c r="C237" s="42"/>
      <c r="D237" s="33"/>
      <c r="E237" s="34"/>
      <c r="F237" s="815"/>
      <c r="G237" s="807"/>
      <c r="H237" s="42"/>
      <c r="I237" s="816"/>
      <c r="J237" s="437"/>
      <c r="K237" s="596"/>
      <c r="L237" s="817"/>
      <c r="M237" s="666"/>
    </row>
    <row r="238" spans="1:20" s="112" customFormat="1" ht="25" customHeight="1">
      <c r="B238" s="647"/>
      <c r="C238" s="108"/>
      <c r="D238" s="109"/>
      <c r="E238" s="110"/>
      <c r="F238" s="818"/>
      <c r="G238" s="819"/>
      <c r="H238" s="108"/>
      <c r="I238" s="820"/>
      <c r="J238" s="821"/>
      <c r="K238" s="867"/>
    </row>
    <row r="239" spans="1:20" s="112" customFormat="1" ht="25" customHeight="1">
      <c r="B239" s="934" t="s">
        <v>620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5" t="s">
        <v>621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6" t="s">
        <v>622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5" t="s">
        <v>623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937" t="s">
        <v>670</v>
      </c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112" customFormat="1" ht="25" customHeight="1"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</row>
    <row r="248" spans="1:23" s="825" customFormat="1" ht="25" customHeight="1">
      <c r="A248" s="112"/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7"/>
      <c r="C267" s="108"/>
      <c r="D267" s="108"/>
      <c r="E267" s="108"/>
      <c r="F267" s="822"/>
      <c r="G267" s="823"/>
      <c r="H267" s="824"/>
      <c r="I267" s="824"/>
      <c r="J267" s="824"/>
      <c r="K267" s="868"/>
      <c r="L267" s="821"/>
      <c r="M267" s="821"/>
      <c r="N267" s="821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18" spans="2:13" s="112" customFormat="1" ht="25" customHeight="1">
      <c r="B318" s="648"/>
      <c r="K318" s="868"/>
      <c r="M318" s="826"/>
    </row>
    <row r="330" spans="2:4" ht="25" customHeight="1">
      <c r="B330" s="649"/>
      <c r="C330" s="38"/>
      <c r="D330" s="96"/>
    </row>
  </sheetData>
  <sheetProtection algorithmName="SHA-512" hashValue="MOFbgMQiFr9SfstCrkY1/erug/S/D7Fyq9t5pddFTMsAkm9FwGLjkMjJ4EYXqKjoqKhlQHfgNMh1bFafCJMBIw==" saltValue="khJJ0iiAfqL6TyzuZi2ARQ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95" t="str">
        <f>"1 SEK = "&amp;NOK&amp;" NOK"</f>
        <v>1 SEK = 1 NOK</v>
      </c>
      <c r="E11" s="995"/>
      <c r="F11" s="99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67"/>
      <c r="C16" s="967"/>
      <c r="D16" s="967"/>
      <c r="E16" s="967"/>
      <c r="F16" s="967"/>
      <c r="G16" s="967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67"/>
      <c r="C17" s="967"/>
      <c r="D17" s="967"/>
      <c r="E17" s="967"/>
      <c r="F17" s="967"/>
      <c r="G17" s="967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94" t="s">
        <v>266</v>
      </c>
      <c r="C19" s="994"/>
      <c r="D19" s="994"/>
      <c r="E19" s="994"/>
      <c r="F19" s="994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86" t="s">
        <v>277</v>
      </c>
      <c r="G88" s="986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47">
        <f>VOLUME_large_SEK</f>
        <v>1.2</v>
      </c>
      <c r="G89" s="1047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45">
        <f>VOLUME_fast_SEK</f>
        <v>3.6</v>
      </c>
      <c r="G90" s="1045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67" t="s">
        <v>72</v>
      </c>
      <c r="C95" s="967"/>
      <c r="D95" s="967"/>
      <c r="E95" s="967"/>
      <c r="F95" s="967"/>
      <c r="G95" s="967"/>
      <c r="H95" s="177"/>
      <c r="J95" s="178"/>
      <c r="K95" s="178"/>
      <c r="M95" s="179"/>
      <c r="O95" s="168"/>
    </row>
    <row r="96" spans="2:23" s="169" customFormat="1" ht="25.5" customHeight="1">
      <c r="B96" s="967"/>
      <c r="C96" s="967"/>
      <c r="D96" s="967"/>
      <c r="E96" s="967"/>
      <c r="F96" s="967"/>
      <c r="G96" s="967"/>
      <c r="H96" s="177"/>
      <c r="J96" s="178"/>
      <c r="K96" s="178"/>
      <c r="M96" s="179"/>
      <c r="O96" s="168"/>
    </row>
    <row r="97" spans="2:23" s="169" customFormat="1" ht="25.5" customHeight="1">
      <c r="B97" s="967"/>
      <c r="C97" s="967"/>
      <c r="D97" s="967"/>
      <c r="E97" s="967"/>
      <c r="F97" s="967"/>
      <c r="G97" s="967"/>
      <c r="H97" s="177"/>
      <c r="J97" s="178"/>
      <c r="K97" s="178"/>
      <c r="M97" s="179"/>
      <c r="O97" s="168"/>
    </row>
    <row r="98" spans="2:23" s="169" customFormat="1" ht="25.5" customHeight="1">
      <c r="B98" s="1043" t="s">
        <v>279</v>
      </c>
      <c r="C98" s="1043"/>
      <c r="D98" s="1043"/>
      <c r="E98" s="1043"/>
      <c r="F98" s="104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94" t="s">
        <v>280</v>
      </c>
      <c r="C99" s="994"/>
      <c r="D99" s="994"/>
      <c r="E99" s="994"/>
      <c r="F99" s="994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86" t="s">
        <v>283</v>
      </c>
      <c r="E102" s="986"/>
      <c r="F102" s="986"/>
      <c r="G102" s="986"/>
      <c r="H102" s="986"/>
      <c r="I102" s="986"/>
      <c r="J102" s="986"/>
      <c r="K102" s="986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46">
        <f>S3_storage.50_SEK</f>
        <v>350</v>
      </c>
      <c r="E103" s="1046"/>
      <c r="F103" s="1046"/>
      <c r="G103" s="1046"/>
      <c r="H103" s="1046"/>
      <c r="I103" s="1046"/>
      <c r="J103" s="1046"/>
      <c r="K103" s="1046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41">
        <f>S3_storage.100_SEK</f>
        <v>270</v>
      </c>
      <c r="E104" s="1041"/>
      <c r="F104" s="1041"/>
      <c r="G104" s="1041"/>
      <c r="H104" s="1041"/>
      <c r="I104" s="1041"/>
      <c r="J104" s="1041"/>
      <c r="K104" s="1041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44">
        <f>S3_storage.500_SEK</f>
        <v>200</v>
      </c>
      <c r="E105" s="1044"/>
      <c r="F105" s="1044"/>
      <c r="G105" s="1044"/>
      <c r="H105" s="1044"/>
      <c r="I105" s="1044"/>
      <c r="J105" s="1044"/>
      <c r="K105" s="1044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41">
        <f>S3_storage.1000_SEK</f>
        <v>185</v>
      </c>
      <c r="E106" s="1041"/>
      <c r="F106" s="1041"/>
      <c r="G106" s="1041"/>
      <c r="H106" s="1041"/>
      <c r="I106" s="1041"/>
      <c r="J106" s="1041"/>
      <c r="K106" s="1041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42" t="str">
        <f>S3_storage.quote_SEK</f>
        <v>Be om offert</v>
      </c>
      <c r="E107" s="1042"/>
      <c r="F107" s="1042"/>
      <c r="G107" s="1042"/>
      <c r="H107" s="1042"/>
      <c r="I107" s="1042"/>
      <c r="J107" s="1042"/>
      <c r="K107" s="1042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67" t="s">
        <v>86</v>
      </c>
      <c r="C116" s="967"/>
      <c r="D116" s="967"/>
      <c r="E116" s="967"/>
      <c r="F116" s="967"/>
      <c r="G116" s="967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67"/>
      <c r="C117" s="967"/>
      <c r="D117" s="967"/>
      <c r="E117" s="967"/>
      <c r="F117" s="967"/>
      <c r="G117" s="967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67"/>
      <c r="C118" s="967"/>
      <c r="D118" s="967"/>
      <c r="E118" s="967"/>
      <c r="F118" s="967"/>
      <c r="G118" s="967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43" t="s">
        <v>284</v>
      </c>
      <c r="C119" s="1043"/>
      <c r="D119" s="1043"/>
      <c r="E119" s="1043"/>
      <c r="F119" s="104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94" t="s">
        <v>285</v>
      </c>
      <c r="C120" s="994"/>
      <c r="D120" s="994"/>
      <c r="E120" s="994"/>
      <c r="F120" s="994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86" t="s">
        <v>286</v>
      </c>
      <c r="D123" s="986"/>
      <c r="E123" s="131" t="s">
        <v>268</v>
      </c>
      <c r="F123" s="986" t="s">
        <v>277</v>
      </c>
      <c r="G123" s="986"/>
      <c r="H123" s="266" t="s">
        <v>90</v>
      </c>
      <c r="I123" s="265"/>
      <c r="J123" s="1000" t="s">
        <v>287</v>
      </c>
      <c r="K123" s="1000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35">
        <f>BAAS_on.demand_SEK</f>
        <v>2.4500000000000002</v>
      </c>
      <c r="G124" s="1036"/>
      <c r="H124" s="307"/>
      <c r="I124" s="472" t="s">
        <v>69</v>
      </c>
      <c r="J124" s="1004" t="s">
        <v>94</v>
      </c>
      <c r="K124" s="1004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37">
        <f>BAAS_small_SEK</f>
        <v>1.75</v>
      </c>
      <c r="G125" s="1038"/>
      <c r="H125" s="309"/>
      <c r="I125" s="473" t="s">
        <v>69</v>
      </c>
      <c r="J125" s="1008">
        <v>0.75</v>
      </c>
      <c r="K125" s="100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39">
        <f>BAAS_large_SEK</f>
        <v>0.92</v>
      </c>
      <c r="G126" s="1040"/>
      <c r="H126" s="298"/>
      <c r="I126" s="474" t="s">
        <v>69</v>
      </c>
      <c r="J126" s="1013">
        <v>0.75</v>
      </c>
      <c r="K126" s="101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67" t="s">
        <v>292</v>
      </c>
      <c r="C137" s="967"/>
      <c r="D137" s="967"/>
      <c r="E137" s="967"/>
      <c r="F137" s="967"/>
      <c r="G137" s="967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67"/>
      <c r="C138" s="967"/>
      <c r="D138" s="967"/>
      <c r="E138" s="967"/>
      <c r="F138" s="967"/>
      <c r="G138" s="967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67"/>
      <c r="C139" s="967"/>
      <c r="D139" s="967"/>
      <c r="E139" s="967"/>
      <c r="F139" s="967"/>
      <c r="G139" s="967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94" t="s">
        <v>285</v>
      </c>
      <c r="C140" s="994"/>
      <c r="D140" s="994"/>
      <c r="E140" s="994"/>
      <c r="F140" s="994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69"/>
      <c r="C141" s="969"/>
      <c r="D141" s="969"/>
      <c r="E141" s="969"/>
      <c r="F141" s="969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67" t="s">
        <v>300</v>
      </c>
      <c r="C176" s="967"/>
      <c r="D176" s="967"/>
      <c r="E176" s="967"/>
      <c r="F176" s="967"/>
      <c r="G176" s="967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67"/>
      <c r="C177" s="967"/>
      <c r="D177" s="967"/>
      <c r="E177" s="967"/>
      <c r="F177" s="967"/>
      <c r="G177" s="967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67"/>
      <c r="C178" s="967"/>
      <c r="D178" s="967"/>
      <c r="E178" s="967"/>
      <c r="F178" s="967"/>
      <c r="G178" s="967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94" t="s">
        <v>285</v>
      </c>
      <c r="C179" s="994"/>
      <c r="D179" s="994"/>
      <c r="E179" s="994"/>
      <c r="F179" s="994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69"/>
      <c r="C180" s="969"/>
      <c r="D180" s="969"/>
      <c r="E180" s="969"/>
      <c r="F180" s="969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70" t="s">
        <v>313</v>
      </c>
      <c r="C211" s="970"/>
      <c r="D211" s="970"/>
      <c r="E211" s="970"/>
      <c r="F211" s="970"/>
      <c r="G211" s="97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70"/>
      <c r="C212" s="970"/>
      <c r="D212" s="970"/>
      <c r="E212" s="970"/>
      <c r="F212" s="970"/>
      <c r="G212" s="97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70"/>
      <c r="C213" s="970"/>
      <c r="D213" s="970"/>
      <c r="E213" s="970"/>
      <c r="F213" s="970"/>
      <c r="G213" s="97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33" t="s">
        <v>314</v>
      </c>
      <c r="C214" s="1033"/>
      <c r="D214" s="1033"/>
      <c r="E214" s="1033"/>
      <c r="F214" s="103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34" t="str">
        <f>SUM(E67)&amp;" GB NVME-Disk"</f>
        <v>0 GB NVME-Disk</v>
      </c>
      <c r="G221" s="103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67"/>
      <c r="C16" s="967"/>
      <c r="D16" s="967"/>
      <c r="E16" s="967"/>
      <c r="F16" s="967"/>
      <c r="G16" s="967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67"/>
      <c r="C17" s="967"/>
      <c r="D17" s="967"/>
      <c r="E17" s="967"/>
      <c r="F17" s="967"/>
      <c r="G17" s="967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69" t="s">
        <v>205</v>
      </c>
      <c r="C19" s="969"/>
      <c r="D19" s="969"/>
      <c r="E19" s="969"/>
      <c r="F19" s="969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86" t="s">
        <v>221</v>
      </c>
      <c r="G98" s="986"/>
      <c r="H98" s="1000"/>
      <c r="I98" s="1000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47">
        <f>VOLUME_large_SEK</f>
        <v>1.2</v>
      </c>
      <c r="G99" s="1047"/>
      <c r="H99" s="1050"/>
      <c r="I99" s="1050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45">
        <f>VOLUME_fast_SEK</f>
        <v>3.6</v>
      </c>
      <c r="G100" s="1045"/>
      <c r="H100" s="1052"/>
      <c r="I100" s="1052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67" t="s">
        <v>344</v>
      </c>
      <c r="C105" s="967"/>
      <c r="D105" s="967"/>
      <c r="E105" s="967"/>
      <c r="F105" s="967"/>
      <c r="G105" s="967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67"/>
      <c r="C106" s="967"/>
      <c r="D106" s="967"/>
      <c r="E106" s="967"/>
      <c r="F106" s="967"/>
      <c r="G106" s="967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67"/>
      <c r="C107" s="967"/>
      <c r="D107" s="967"/>
      <c r="E107" s="967"/>
      <c r="F107" s="967"/>
      <c r="G107" s="967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16" t="s">
        <v>223</v>
      </c>
      <c r="C108" s="1016"/>
      <c r="D108" s="1016"/>
      <c r="E108" s="1016"/>
      <c r="F108" s="1016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94" t="s">
        <v>345</v>
      </c>
      <c r="C109" s="994"/>
      <c r="D109" s="994"/>
      <c r="E109" s="994"/>
      <c r="F109" s="994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86" t="s">
        <v>346</v>
      </c>
      <c r="E112" s="986"/>
      <c r="F112" s="986"/>
      <c r="G112" s="986"/>
      <c r="H112" s="986"/>
      <c r="I112" s="986"/>
      <c r="J112" s="986"/>
      <c r="K112" s="986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53">
        <f>S3_storage.50_SUNET</f>
        <v>0.35</v>
      </c>
      <c r="E113" s="1053"/>
      <c r="F113" s="1046"/>
      <c r="G113" s="1046"/>
      <c r="H113" s="1046"/>
      <c r="I113" s="1046"/>
      <c r="J113" s="1046"/>
      <c r="K113" s="1046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51">
        <f>S3_storage.100_SUNET</f>
        <v>0.19</v>
      </c>
      <c r="E114" s="1051"/>
      <c r="F114" s="1041"/>
      <c r="G114" s="1041"/>
      <c r="H114" s="1041"/>
      <c r="I114" s="1041"/>
      <c r="J114" s="1041"/>
      <c r="K114" s="1041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54">
        <f>S3_storage.500_SUNET</f>
        <v>0.1</v>
      </c>
      <c r="E115" s="1054"/>
      <c r="F115" s="1044"/>
      <c r="G115" s="1044"/>
      <c r="H115" s="1044"/>
      <c r="I115" s="1044"/>
      <c r="J115" s="1044"/>
      <c r="K115" s="1044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51">
        <f>S3_storage.1000_SUNET</f>
        <v>0.06</v>
      </c>
      <c r="E116" s="1051"/>
      <c r="F116" s="1041"/>
      <c r="G116" s="1041"/>
      <c r="H116" s="1041"/>
      <c r="I116" s="1041"/>
      <c r="J116" s="1041"/>
      <c r="K116" s="1041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55" t="str">
        <f>S3_storage.quote_SUNET</f>
        <v>Be om offert</v>
      </c>
      <c r="E117" s="1055"/>
      <c r="F117" s="1042"/>
      <c r="G117" s="1042"/>
      <c r="H117" s="1042"/>
      <c r="I117" s="1042"/>
      <c r="J117" s="1042"/>
      <c r="K117" s="1042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86" t="s">
        <v>221</v>
      </c>
      <c r="G120" s="986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56" cm="1">
        <f t="array" ref="F121">_xlfn.IFS(H121&lt;=299,D113,H121&lt;1000,D114,H121&lt;2000,D115,H121&gt;=2000,D116)</f>
        <v>0.35</v>
      </c>
      <c r="G121" s="1057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48">
        <f>ROUNDUP((H121*1000)*F121,2)</f>
        <v>0</v>
      </c>
      <c r="N121" s="1048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49">
        <f>SUM(M121)</f>
        <v>0</v>
      </c>
      <c r="N122" s="1049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67" t="s">
        <v>86</v>
      </c>
      <c r="C126" s="967"/>
      <c r="D126" s="967"/>
      <c r="E126" s="967"/>
      <c r="F126" s="967"/>
      <c r="G126" s="967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67"/>
      <c r="C127" s="967"/>
      <c r="D127" s="967"/>
      <c r="E127" s="967"/>
      <c r="F127" s="967"/>
      <c r="G127" s="967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67"/>
      <c r="C128" s="967"/>
      <c r="D128" s="967"/>
      <c r="E128" s="967"/>
      <c r="F128" s="967"/>
      <c r="G128" s="967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88" t="s">
        <v>87</v>
      </c>
      <c r="C129" s="988"/>
      <c r="D129" s="988"/>
      <c r="E129" s="988"/>
      <c r="F129" s="988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69" t="s">
        <v>226</v>
      </c>
      <c r="C130" s="969"/>
      <c r="D130" s="969"/>
      <c r="E130" s="969"/>
      <c r="F130" s="969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86" t="s">
        <v>228</v>
      </c>
      <c r="D133" s="986"/>
      <c r="E133" s="131" t="s">
        <v>210</v>
      </c>
      <c r="F133" s="986" t="s">
        <v>221</v>
      </c>
      <c r="G133" s="986"/>
      <c r="H133" s="266" t="s">
        <v>90</v>
      </c>
      <c r="I133" s="265"/>
      <c r="J133" s="1000" t="s">
        <v>229</v>
      </c>
      <c r="K133" s="1000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35">
        <f>BAAS_on.demand_SEK</f>
        <v>2.4500000000000002</v>
      </c>
      <c r="G134" s="1036"/>
      <c r="H134" s="307">
        <v>0</v>
      </c>
      <c r="I134" s="472" t="s">
        <v>69</v>
      </c>
      <c r="J134" s="1004" t="s">
        <v>94</v>
      </c>
      <c r="K134" s="100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37">
        <f>BAAS_small_SEK</f>
        <v>1.75</v>
      </c>
      <c r="G135" s="1038"/>
      <c r="H135" s="309">
        <v>0</v>
      </c>
      <c r="I135" s="473" t="s">
        <v>69</v>
      </c>
      <c r="J135" s="1008">
        <v>0.75</v>
      </c>
      <c r="K135" s="100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39">
        <f>BAAS_large_SEK</f>
        <v>0.92</v>
      </c>
      <c r="G136" s="1040"/>
      <c r="H136" s="298">
        <v>0</v>
      </c>
      <c r="I136" s="474" t="s">
        <v>69</v>
      </c>
      <c r="J136" s="1013">
        <v>0.75</v>
      </c>
      <c r="K136" s="101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70" t="s">
        <v>260</v>
      </c>
      <c r="C150" s="970"/>
      <c r="D150" s="970"/>
      <c r="E150" s="970"/>
      <c r="F150" s="970"/>
      <c r="G150" s="97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70"/>
      <c r="C151" s="970"/>
      <c r="D151" s="970"/>
      <c r="E151" s="970"/>
      <c r="F151" s="970"/>
      <c r="G151" s="97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70"/>
      <c r="C152" s="970"/>
      <c r="D152" s="970"/>
      <c r="E152" s="970"/>
      <c r="F152" s="970"/>
      <c r="G152" s="97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33" t="s">
        <v>226</v>
      </c>
      <c r="C153" s="1033"/>
      <c r="D153" s="1033"/>
      <c r="E153" s="1033"/>
      <c r="F153" s="103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59" t="s">
        <v>196</v>
      </c>
      <c r="C160" s="1059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60" t="s">
        <v>197</v>
      </c>
      <c r="C161" s="1060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61" t="s">
        <v>199</v>
      </c>
      <c r="C163" s="1061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58">
        <f>SUM(M160:M163)</f>
        <v>0</v>
      </c>
      <c r="K164" s="1058"/>
      <c r="L164" s="1058"/>
      <c r="M164" s="1058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56" zoomScale="120" zoomScaleNormal="120" workbookViewId="0">
      <selection activeCell="F65" sqref="F6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 t="s">
        <v>671</v>
      </c>
      <c r="E61" s="151" t="s">
        <v>248</v>
      </c>
      <c r="F61" s="152" t="s">
        <v>672</v>
      </c>
      <c r="G61" s="486" t="s">
        <v>94</v>
      </c>
    </row>
    <row r="62" spans="2:7" ht="30" customHeight="1">
      <c r="B62" s="84" t="s">
        <v>413</v>
      </c>
      <c r="C62" s="83"/>
      <c r="D62" s="143" t="s">
        <v>671</v>
      </c>
      <c r="E62" s="149" t="s">
        <v>248</v>
      </c>
      <c r="F62" s="127" t="s">
        <v>590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590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590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590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590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2023-01-03T09:53:11Z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