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041B9B7D-B6CC-0143-A15E-1AEDB463AE53}" xr6:coauthVersionLast="47" xr6:coauthVersionMax="47" xr10:uidLastSave="{00000000-0000-0000-0000-000000000000}"/>
  <workbookProtection workbookAlgorithmName="SHA-512" workbookHashValue="FBrDFFWcT0F1qnsvYCGYPQreJPxTYLrFAy5JNSqzpV1CCPC1/moalBz9LZVa54vYnUeSKYXjVkr3hYJ6FIQU3g==" workbookSaltValue="hUW979DKk5GP3y7oAtoKgw==" workbookSpinCount="100000" lockStructure="1"/>
  <bookViews>
    <workbookView xWindow="0" yWindow="500" windowWidth="28800" windowHeight="17500" tabRatio="530" activeTab="2" xr2:uid="{00000000-000D-0000-FFFF-FFFF00000000}"/>
  </bookViews>
  <sheets>
    <sheet name="SEK - Safesprings tjänster 2021" sheetId="3" r:id="rId1"/>
    <sheet name="EUR - Safespring services 2021" sheetId="8" r:id="rId2"/>
    <sheet name="NOK - Safesprings tjeneste 2021" sheetId="10" r:id="rId3"/>
    <sheet name="SUNET SEK - priser 2020" sheetId="9" state="hidden" r:id="rId4"/>
    <sheet name="Data" sheetId="4" state="hidden" r:id="rId5"/>
  </sheets>
  <definedNames>
    <definedName name="Antal_instanser">'SEK - Safesprings tjänster 2021'!$I$25:$I$37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Safesprings tjänster 2021'!$E$25:$E$37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Safesprings tjänster 2021'!$I$25:$I$37</definedName>
    <definedName name="list_Disk__GB">'SEK - Safesprings tjänster 2021'!$E$25:$E$37</definedName>
    <definedName name="list_RAM__GB">'SEK - Safesprings tjänster 2021'!$D$25:$D$37</definedName>
    <definedName name="list_vCPU">'SEK - Safesprings tjänster 2021'!$C$25:$C$37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kubernetes24_EUR">Data!$F$56</definedName>
    <definedName name="PAAS_man.kubernetes24_SEK">Data!$E$56</definedName>
    <definedName name="PAAS_man.kubernetes8_EUR">Data!$F$57</definedName>
    <definedName name="PAAS_man.kubernetes8_SEK">Data!$E$57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services 2021'!#REF!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Safesprings tjänster 2021'!$D$25:$D$37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1">'EUR - Safespring services 2021'!$I$43:$J$65</definedName>
    <definedName name="_xlnm.Print_Area" localSheetId="2">'NOK - Safesprings tjeneste 2021'!$A$1:$N$306</definedName>
    <definedName name="_xlnm.Print_Area" localSheetId="0">'SEK - Safesprings tjänster 2021'!$A$1:$N$306</definedName>
    <definedName name="_xlnm.Print_Area" localSheetId="3">'SUNET SEK - priser 2020'!$A$1:$N$246</definedName>
    <definedName name="vCPU">'SEK - Safesprings tjänster 2021'!$C$25:$C$37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0" i="3" l="1"/>
  <c r="M171" i="3"/>
  <c r="M172" i="3"/>
  <c r="M173" i="3"/>
  <c r="M168" i="10"/>
  <c r="E67" i="10" a="1"/>
  <c r="E67" i="10" s="1"/>
  <c r="F222" i="10" s="1"/>
  <c r="C67" i="10" a="1"/>
  <c r="C67" i="10" s="1"/>
  <c r="D67" i="10" a="1"/>
  <c r="D67" i="10" s="1"/>
  <c r="E38" i="10" a="1"/>
  <c r="E38" i="10" s="1"/>
  <c r="E222" i="10" s="1"/>
  <c r="D38" i="10" a="1"/>
  <c r="D38" i="10" s="1"/>
  <c r="C38" i="10" a="1"/>
  <c r="C38" i="10" s="1"/>
  <c r="L151" i="8"/>
  <c r="E38" i="8" a="1"/>
  <c r="E38" i="8" s="1"/>
  <c r="E222" i="8" s="1"/>
  <c r="D38" i="8" a="1"/>
  <c r="D38" i="8" s="1"/>
  <c r="C67" i="8" a="1"/>
  <c r="C67" i="8" s="1"/>
  <c r="D67" i="8" a="1"/>
  <c r="D67" i="8" s="1"/>
  <c r="E67" i="8" a="1"/>
  <c r="E67" i="8" s="1"/>
  <c r="F222" i="8" s="1"/>
  <c r="I67" i="8"/>
  <c r="J67" i="8"/>
  <c r="C38" i="8" a="1"/>
  <c r="C38" i="8" s="1"/>
  <c r="I38" i="8"/>
  <c r="J38" i="8"/>
  <c r="C38" i="3" a="1"/>
  <c r="C38" i="3" s="1"/>
  <c r="L226" i="10"/>
  <c r="E56" i="4"/>
  <c r="M168" i="3" s="1"/>
  <c r="F56" i="4"/>
  <c r="L168" i="8" s="1"/>
  <c r="F57" i="4"/>
  <c r="L169" i="8" s="1"/>
  <c r="E57" i="4"/>
  <c r="M169" i="3" s="1"/>
  <c r="G43" i="4"/>
  <c r="E43" i="4"/>
  <c r="E222" i="3" a="1"/>
  <c r="E222" i="3" s="1"/>
  <c r="D222" i="3" a="1"/>
  <c r="D222" i="3" s="1"/>
  <c r="C222" i="3" a="1"/>
  <c r="C222" i="3" s="1"/>
  <c r="F222" i="3" a="1"/>
  <c r="F222" i="3" s="1"/>
  <c r="C67" i="3" a="1"/>
  <c r="C67" i="3" s="1"/>
  <c r="D67" i="3" a="1"/>
  <c r="D67" i="3" s="1"/>
  <c r="E67" i="3" a="1"/>
  <c r="E67" i="3" s="1"/>
  <c r="E38" i="3" a="1"/>
  <c r="E38" i="3" s="1"/>
  <c r="D38" i="3" a="1"/>
  <c r="D38" i="3" s="1"/>
  <c r="J91" i="8"/>
  <c r="J38" i="3"/>
  <c r="I38" i="3"/>
  <c r="J76" i="10"/>
  <c r="I76" i="10"/>
  <c r="J38" i="10"/>
  <c r="I38" i="10"/>
  <c r="J67" i="10"/>
  <c r="I67" i="10"/>
  <c r="J91" i="3"/>
  <c r="I76" i="3"/>
  <c r="G34" i="4"/>
  <c r="D11" i="10"/>
  <c r="D11" i="8"/>
  <c r="M162" i="10"/>
  <c r="M161" i="10"/>
  <c r="M160" i="10"/>
  <c r="H127" i="10"/>
  <c r="M126" i="10"/>
  <c r="M125" i="10"/>
  <c r="D107" i="10"/>
  <c r="J91" i="10"/>
  <c r="J84" i="10"/>
  <c r="I84" i="10"/>
  <c r="K82" i="10"/>
  <c r="K74" i="10"/>
  <c r="K72" i="10"/>
  <c r="M169" i="10" l="1"/>
  <c r="D222" i="8"/>
  <c r="C222" i="10"/>
  <c r="D222" i="10"/>
  <c r="C222" i="8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82" i="9" l="1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H45" i="3" l="1"/>
  <c r="H59" i="10"/>
  <c r="H60" i="10"/>
  <c r="H61" i="10"/>
  <c r="H58" i="10"/>
  <c r="H55" i="3"/>
  <c r="H44" i="3"/>
  <c r="H54" i="3"/>
  <c r="H66" i="8"/>
  <c r="H49" i="8"/>
  <c r="H51" i="8"/>
  <c r="H50" i="8"/>
  <c r="H48" i="8"/>
  <c r="M86" i="9"/>
  <c r="H35" i="3"/>
  <c r="H34" i="3"/>
  <c r="H25" i="3"/>
  <c r="H37" i="3"/>
  <c r="H25" i="10"/>
  <c r="H36" i="10"/>
  <c r="H37" i="10"/>
  <c r="L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L55" i="3" l="1"/>
  <c r="G55" i="3"/>
  <c r="L50" i="8"/>
  <c r="G50" i="8"/>
  <c r="G61" i="10"/>
  <c r="L61" i="10"/>
  <c r="G58" i="10"/>
  <c r="L58" i="10"/>
  <c r="L51" i="8"/>
  <c r="G51" i="8"/>
  <c r="G60" i="10"/>
  <c r="L60" i="10"/>
  <c r="G54" i="3"/>
  <c r="L54" i="3"/>
  <c r="G49" i="8"/>
  <c r="L49" i="8"/>
  <c r="G59" i="10"/>
  <c r="L59" i="10"/>
  <c r="G44" i="3"/>
  <c r="L44" i="3"/>
  <c r="G48" i="8"/>
  <c r="L48" i="8"/>
  <c r="G45" i="3"/>
  <c r="L45" i="3"/>
  <c r="L35" i="8"/>
  <c r="G35" i="8"/>
  <c r="L66" i="10"/>
  <c r="G66" i="10"/>
  <c r="L37" i="10"/>
  <c r="G37" i="10"/>
  <c r="G37" i="3"/>
  <c r="L37" i="3"/>
  <c r="L65" i="3"/>
  <c r="G65" i="3"/>
  <c r="L36" i="10"/>
  <c r="G36" i="10"/>
  <c r="L34" i="3"/>
  <c r="G34" i="3"/>
  <c r="L34" i="8"/>
  <c r="G34" i="8"/>
  <c r="L35" i="3"/>
  <c r="G35" i="3"/>
  <c r="G26" i="10"/>
  <c r="L26" i="10"/>
  <c r="L44" i="10"/>
  <c r="G44" i="10"/>
  <c r="L35" i="10"/>
  <c r="G35" i="10"/>
  <c r="G30" i="10"/>
  <c r="L30" i="10"/>
  <c r="L49" i="10"/>
  <c r="G49" i="10"/>
  <c r="L48" i="10"/>
  <c r="G48" i="10"/>
  <c r="L75" i="10"/>
  <c r="G75" i="10"/>
  <c r="L62" i="10"/>
  <c r="G62" i="10"/>
  <c r="L47" i="10"/>
  <c r="G47" i="10"/>
  <c r="L25" i="10"/>
  <c r="G25" i="10"/>
  <c r="L52" i="10"/>
  <c r="G52" i="10"/>
  <c r="G72" i="10"/>
  <c r="L72" i="10"/>
  <c r="L27" i="10"/>
  <c r="G27" i="10"/>
  <c r="L28" i="10"/>
  <c r="G28" i="10"/>
  <c r="L29" i="10"/>
  <c r="G29" i="10"/>
  <c r="G74" i="10"/>
  <c r="L74" i="10"/>
  <c r="L57" i="10"/>
  <c r="G57" i="10"/>
  <c r="L64" i="10"/>
  <c r="G64" i="10"/>
  <c r="L50" i="10"/>
  <c r="G50" i="10"/>
  <c r="L56" i="10"/>
  <c r="G56" i="10"/>
  <c r="L55" i="10"/>
  <c r="G55" i="10"/>
  <c r="G34" i="10"/>
  <c r="L34" i="10"/>
  <c r="L53" i="10"/>
  <c r="G53" i="10"/>
  <c r="L46" i="10"/>
  <c r="G46" i="10"/>
  <c r="L51" i="10"/>
  <c r="G51" i="10"/>
  <c r="L31" i="10"/>
  <c r="G31" i="10"/>
  <c r="L32" i="10"/>
  <c r="G32" i="10"/>
  <c r="L33" i="10"/>
  <c r="G33" i="10"/>
  <c r="L45" i="10"/>
  <c r="G45" i="10"/>
  <c r="L65" i="10"/>
  <c r="G65" i="10"/>
  <c r="G73" i="10"/>
  <c r="L73" i="10"/>
  <c r="L54" i="10"/>
  <c r="G54" i="10"/>
  <c r="L43" i="10"/>
  <c r="G43" i="10"/>
  <c r="L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L67" i="10" l="1"/>
  <c r="L76" i="10"/>
  <c r="L38" i="10"/>
  <c r="K74" i="3"/>
  <c r="K72" i="3"/>
  <c r="H127" i="8"/>
  <c r="J84" i="8"/>
  <c r="I84" i="8"/>
  <c r="J76" i="8"/>
  <c r="I76" i="8"/>
  <c r="H127" i="3"/>
  <c r="J84" i="3"/>
  <c r="I84" i="3"/>
  <c r="J76" i="3"/>
  <c r="J67" i="3"/>
  <c r="I67" i="3"/>
  <c r="F65" i="4"/>
  <c r="L193" i="8" s="1"/>
  <c r="F66" i="4"/>
  <c r="L194" i="8" s="1"/>
  <c r="F67" i="4"/>
  <c r="L195" i="8" s="1"/>
  <c r="F68" i="4"/>
  <c r="L196" i="8" s="1"/>
  <c r="F69" i="4"/>
  <c r="L197" i="8" s="1"/>
  <c r="F64" i="4"/>
  <c r="L192" i="8" s="1"/>
  <c r="F40" i="4"/>
  <c r="F37" i="4"/>
  <c r="L162" i="8"/>
  <c r="E64" i="4"/>
  <c r="M192" i="10" s="1"/>
  <c r="E69" i="4"/>
  <c r="M197" i="10" s="1"/>
  <c r="E68" i="4"/>
  <c r="E67" i="4"/>
  <c r="E66" i="4"/>
  <c r="E65" i="4"/>
  <c r="M193" i="10" s="1"/>
  <c r="M162" i="3"/>
  <c r="M161" i="3"/>
  <c r="M160" i="3"/>
  <c r="M196" i="3" l="1"/>
  <c r="M196" i="10"/>
  <c r="M195" i="3"/>
  <c r="M195" i="10"/>
  <c r="M194" i="3"/>
  <c r="M194" i="10"/>
  <c r="M192" i="3"/>
  <c r="M193" i="3"/>
  <c r="M197" i="3"/>
  <c r="L161" i="8"/>
  <c r="L160" i="8"/>
  <c r="M125" i="8"/>
  <c r="F25" i="4"/>
  <c r="D126" i="8" s="1"/>
  <c r="E25" i="4"/>
  <c r="F24" i="4"/>
  <c r="D125" i="8" s="1"/>
  <c r="E24" i="4"/>
  <c r="D107" i="8"/>
  <c r="M126" i="8"/>
  <c r="K82" i="8"/>
  <c r="K26" i="8"/>
  <c r="K27" i="8" s="1"/>
  <c r="K28" i="8" s="1"/>
  <c r="K29" i="8" s="1"/>
  <c r="K30" i="8" s="1"/>
  <c r="K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L82" i="10"/>
  <c r="M111" i="10" a="1"/>
  <c r="M111" i="10" s="1"/>
  <c r="M112" i="10" s="1"/>
  <c r="L223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K32" i="8"/>
  <c r="K33" i="8" s="1"/>
  <c r="K34" i="8" s="1"/>
  <c r="K35" i="8" s="1"/>
  <c r="K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L173" i="8"/>
  <c r="L172" i="8"/>
  <c r="L171" i="8"/>
  <c r="L170" i="8"/>
  <c r="M159" i="10"/>
  <c r="L159" i="8"/>
  <c r="E53" i="4"/>
  <c r="M163" i="10" s="1"/>
  <c r="F53" i="4"/>
  <c r="L163" i="8" s="1"/>
  <c r="F26" i="4"/>
  <c r="F125" i="8" s="1"/>
  <c r="E26" i="4"/>
  <c r="F23" i="4"/>
  <c r="F124" i="8" s="1"/>
  <c r="E23" i="4"/>
  <c r="F44" i="4"/>
  <c r="L152" i="8" s="1"/>
  <c r="E44" i="4"/>
  <c r="M152" i="10" s="1"/>
  <c r="F42" i="4"/>
  <c r="L150" i="8" s="1"/>
  <c r="E42" i="4"/>
  <c r="M150" i="10" s="1"/>
  <c r="L149" i="8"/>
  <c r="L148" i="8"/>
  <c r="E40" i="4"/>
  <c r="M148" i="10" s="1"/>
  <c r="F39" i="4"/>
  <c r="L147" i="8" s="1"/>
  <c r="E39" i="4"/>
  <c r="M147" i="10" s="1"/>
  <c r="F38" i="4"/>
  <c r="L146" i="8" s="1"/>
  <c r="E38" i="4"/>
  <c r="M146" i="10" s="1"/>
  <c r="L145" i="8"/>
  <c r="E37" i="4"/>
  <c r="M145" i="10" s="1"/>
  <c r="M149" i="10" l="1"/>
  <c r="L149" i="3"/>
  <c r="E14" i="4"/>
  <c r="K37" i="8"/>
  <c r="H91" i="9"/>
  <c r="G91" i="9" s="1"/>
  <c r="H81" i="10"/>
  <c r="F134" i="9"/>
  <c r="N134" i="9" s="1"/>
  <c r="N137" i="9" s="1"/>
  <c r="M162" i="9" s="1"/>
  <c r="F124" i="10"/>
  <c r="M124" i="10" s="1"/>
  <c r="M127" i="10" s="1"/>
  <c r="L224" i="10" s="1"/>
  <c r="F135" i="9"/>
  <c r="F125" i="10"/>
  <c r="G58" i="3"/>
  <c r="L58" i="3"/>
  <c r="G66" i="3"/>
  <c r="L66" i="3"/>
  <c r="G51" i="3"/>
  <c r="L51" i="3"/>
  <c r="G52" i="3"/>
  <c r="L52" i="3"/>
  <c r="M41" i="9"/>
  <c r="M45" i="9"/>
  <c r="M49" i="9"/>
  <c r="G49" i="9"/>
  <c r="M53" i="9"/>
  <c r="G53" i="9"/>
  <c r="M57" i="9"/>
  <c r="G57" i="9"/>
  <c r="G29" i="9"/>
  <c r="M29" i="9"/>
  <c r="G57" i="8"/>
  <c r="L57" i="8"/>
  <c r="G61" i="8"/>
  <c r="L61" i="8"/>
  <c r="L46" i="8"/>
  <c r="G46" i="8"/>
  <c r="L59" i="8"/>
  <c r="G59" i="8"/>
  <c r="G92" i="9"/>
  <c r="M92" i="9"/>
  <c r="G46" i="3"/>
  <c r="L46" i="3"/>
  <c r="G49" i="3"/>
  <c r="L49" i="3"/>
  <c r="G53" i="3"/>
  <c r="L53" i="3"/>
  <c r="G43" i="3"/>
  <c r="L43" i="3"/>
  <c r="G48" i="3"/>
  <c r="L48" i="3"/>
  <c r="G63" i="3"/>
  <c r="L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L55" i="8"/>
  <c r="G55" i="8"/>
  <c r="L44" i="8"/>
  <c r="G44" i="8"/>
  <c r="L56" i="8"/>
  <c r="G56" i="8"/>
  <c r="L52" i="8"/>
  <c r="G52" i="8"/>
  <c r="M152" i="3"/>
  <c r="G64" i="3"/>
  <c r="L64" i="3"/>
  <c r="G50" i="3"/>
  <c r="L50" i="3"/>
  <c r="G59" i="3"/>
  <c r="L59" i="3"/>
  <c r="G60" i="3"/>
  <c r="L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L53" i="8"/>
  <c r="G63" i="8"/>
  <c r="L63" i="8"/>
  <c r="L54" i="8"/>
  <c r="G54" i="8"/>
  <c r="G43" i="8"/>
  <c r="L43" i="8"/>
  <c r="G64" i="8"/>
  <c r="L64" i="8"/>
  <c r="M122" i="9"/>
  <c r="M161" i="9" s="1"/>
  <c r="M145" i="3"/>
  <c r="M147" i="3"/>
  <c r="M163" i="3"/>
  <c r="M146" i="3"/>
  <c r="M148" i="3"/>
  <c r="M150" i="3"/>
  <c r="M159" i="3"/>
  <c r="G61" i="3"/>
  <c r="L61" i="3"/>
  <c r="G47" i="3"/>
  <c r="L47" i="3"/>
  <c r="G56" i="3"/>
  <c r="L56" i="3"/>
  <c r="G62" i="3"/>
  <c r="L62" i="3"/>
  <c r="G57" i="3"/>
  <c r="L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L65" i="8"/>
  <c r="G45" i="8"/>
  <c r="L45" i="8"/>
  <c r="G60" i="8"/>
  <c r="L60" i="8"/>
  <c r="G47" i="8"/>
  <c r="L47" i="8"/>
  <c r="L58" i="8"/>
  <c r="G58" i="8"/>
  <c r="L62" i="8"/>
  <c r="G62" i="8"/>
  <c r="L33" i="8"/>
  <c r="L29" i="8"/>
  <c r="M124" i="8"/>
  <c r="M111" i="8" a="1"/>
  <c r="M111" i="8" s="1"/>
  <c r="M112" i="8" s="1"/>
  <c r="G82" i="8"/>
  <c r="L82" i="8"/>
  <c r="G25" i="8"/>
  <c r="L25" i="8"/>
  <c r="L32" i="8"/>
  <c r="G32" i="8"/>
  <c r="G31" i="8"/>
  <c r="L31" i="8"/>
  <c r="G26" i="8"/>
  <c r="L26" i="8"/>
  <c r="G81" i="8"/>
  <c r="L81" i="8"/>
  <c r="L36" i="8"/>
  <c r="G36" i="8"/>
  <c r="L28" i="8"/>
  <c r="G28" i="8"/>
  <c r="G30" i="8"/>
  <c r="L30" i="8"/>
  <c r="G37" i="8"/>
  <c r="L37" i="8"/>
  <c r="G27" i="8"/>
  <c r="L27" i="8"/>
  <c r="F124" i="3"/>
  <c r="F125" i="3"/>
  <c r="E16" i="4"/>
  <c r="H83" i="10" s="1"/>
  <c r="H81" i="3"/>
  <c r="M151" i="10"/>
  <c r="L38" i="8" l="1"/>
  <c r="M91" i="9"/>
  <c r="K43" i="8"/>
  <c r="K44" i="8" s="1"/>
  <c r="K45" i="8" s="1"/>
  <c r="K46" i="8" s="1"/>
  <c r="K47" i="8" s="1"/>
  <c r="G83" i="10"/>
  <c r="L83" i="10"/>
  <c r="L81" i="10"/>
  <c r="G81" i="10"/>
  <c r="M60" i="9"/>
  <c r="H83" i="3"/>
  <c r="H93" i="9"/>
  <c r="M36" i="9"/>
  <c r="M151" i="3"/>
  <c r="L67" i="8"/>
  <c r="M127" i="8"/>
  <c r="L224" i="8" s="1"/>
  <c r="L223" i="8"/>
  <c r="G83" i="8"/>
  <c r="L83" i="8"/>
  <c r="L84" i="8" s="1"/>
  <c r="F19" i="4"/>
  <c r="F89" i="8" s="1"/>
  <c r="F20" i="4"/>
  <c r="F90" i="8" s="1"/>
  <c r="E20" i="4"/>
  <c r="E19" i="4"/>
  <c r="E47" i="4"/>
  <c r="F47" i="4"/>
  <c r="E48" i="4"/>
  <c r="M158" i="10" s="1"/>
  <c r="F48" i="4"/>
  <c r="L158" i="8" s="1"/>
  <c r="M82" i="3" l="1"/>
  <c r="M45" i="3"/>
  <c r="M53" i="3"/>
  <c r="M61" i="3"/>
  <c r="M27" i="3"/>
  <c r="M35" i="3"/>
  <c r="M81" i="10"/>
  <c r="M47" i="10"/>
  <c r="M55" i="10"/>
  <c r="M63" i="10"/>
  <c r="M29" i="10"/>
  <c r="M37" i="10"/>
  <c r="M83" i="3"/>
  <c r="M46" i="3"/>
  <c r="M54" i="3"/>
  <c r="M62" i="3"/>
  <c r="M28" i="3"/>
  <c r="M36" i="3"/>
  <c r="M81" i="3"/>
  <c r="M47" i="3"/>
  <c r="M55" i="3"/>
  <c r="M63" i="3"/>
  <c r="M29" i="3"/>
  <c r="M37" i="3"/>
  <c r="M75" i="10"/>
  <c r="M49" i="10"/>
  <c r="M57" i="10"/>
  <c r="M65" i="10"/>
  <c r="M31" i="10"/>
  <c r="M72" i="10"/>
  <c r="M51" i="10"/>
  <c r="M59" i="10"/>
  <c r="M43" i="10"/>
  <c r="M33" i="10"/>
  <c r="M82" i="10"/>
  <c r="M53" i="10"/>
  <c r="M27" i="10"/>
  <c r="M74" i="10"/>
  <c r="M48" i="10"/>
  <c r="M56" i="10"/>
  <c r="M64" i="10"/>
  <c r="M25" i="10"/>
  <c r="M73" i="3"/>
  <c r="M48" i="3"/>
  <c r="M56" i="3"/>
  <c r="M64" i="3"/>
  <c r="M30" i="3"/>
  <c r="M25" i="3"/>
  <c r="M73" i="10"/>
  <c r="M50" i="10"/>
  <c r="M58" i="10"/>
  <c r="M66" i="10"/>
  <c r="M32" i="10"/>
  <c r="M45" i="10"/>
  <c r="M61" i="10"/>
  <c r="M35" i="10"/>
  <c r="M30" i="10"/>
  <c r="M74" i="3"/>
  <c r="M49" i="3"/>
  <c r="M57" i="3"/>
  <c r="M65" i="3"/>
  <c r="M31" i="3"/>
  <c r="M75" i="3"/>
  <c r="M50" i="3"/>
  <c r="M58" i="3"/>
  <c r="M66" i="3"/>
  <c r="M32" i="3"/>
  <c r="M44" i="10"/>
  <c r="M52" i="10"/>
  <c r="M60" i="10"/>
  <c r="M26" i="10"/>
  <c r="M34" i="10"/>
  <c r="M72" i="3"/>
  <c r="M51" i="3"/>
  <c r="M59" i="3"/>
  <c r="M43" i="3"/>
  <c r="M33" i="3"/>
  <c r="M44" i="3"/>
  <c r="M52" i="3"/>
  <c r="M60" i="3"/>
  <c r="M26" i="3"/>
  <c r="M34" i="3"/>
  <c r="M83" i="10"/>
  <c r="M46" i="10"/>
  <c r="M54" i="10"/>
  <c r="M62" i="10"/>
  <c r="M28" i="10"/>
  <c r="M36" i="10"/>
  <c r="M73" i="8"/>
  <c r="M48" i="8"/>
  <c r="M56" i="8"/>
  <c r="M64" i="8"/>
  <c r="M30" i="8"/>
  <c r="M25" i="8"/>
  <c r="M38" i="8" s="1"/>
  <c r="M75" i="8"/>
  <c r="M50" i="8"/>
  <c r="M58" i="8"/>
  <c r="M66" i="8"/>
  <c r="M32" i="8"/>
  <c r="M46" i="8"/>
  <c r="M54" i="8"/>
  <c r="M62" i="8"/>
  <c r="M28" i="8"/>
  <c r="M36" i="8"/>
  <c r="M74" i="8"/>
  <c r="M49" i="8"/>
  <c r="M57" i="8"/>
  <c r="M65" i="8"/>
  <c r="M31" i="8"/>
  <c r="M72" i="8"/>
  <c r="M51" i="8"/>
  <c r="M59" i="8"/>
  <c r="M43" i="8"/>
  <c r="M33" i="8"/>
  <c r="M82" i="8"/>
  <c r="M44" i="8"/>
  <c r="M52" i="8"/>
  <c r="M60" i="8"/>
  <c r="M26" i="8"/>
  <c r="M34" i="8"/>
  <c r="M83" i="8"/>
  <c r="M45" i="8"/>
  <c r="M53" i="8"/>
  <c r="M61" i="8"/>
  <c r="M27" i="8"/>
  <c r="M35" i="8"/>
  <c r="M81" i="8"/>
  <c r="M47" i="8"/>
  <c r="M55" i="8"/>
  <c r="M63" i="8"/>
  <c r="M29" i="8"/>
  <c r="M37" i="8"/>
  <c r="K52" i="8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48" i="8"/>
  <c r="K49" i="8" s="1"/>
  <c r="K50" i="8" s="1"/>
  <c r="K51" i="8" s="1"/>
  <c r="L84" i="10"/>
  <c r="F100" i="9"/>
  <c r="F90" i="10"/>
  <c r="F99" i="9"/>
  <c r="E99" i="9" s="1"/>
  <c r="F89" i="10"/>
  <c r="M156" i="10"/>
  <c r="M157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M158" i="3"/>
  <c r="H72" i="3"/>
  <c r="H74" i="3"/>
  <c r="H73" i="3"/>
  <c r="H75" i="3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M157" i="3"/>
  <c r="M156" i="3"/>
  <c r="E100" i="9"/>
  <c r="N100" i="9"/>
  <c r="H72" i="8"/>
  <c r="H73" i="8"/>
  <c r="H74" i="8"/>
  <c r="H75" i="8"/>
  <c r="L156" i="8"/>
  <c r="L157" i="8"/>
  <c r="F90" i="3"/>
  <c r="M89" i="8"/>
  <c r="E89" i="8"/>
  <c r="F89" i="3"/>
  <c r="K63" i="8" l="1"/>
  <c r="K64" i="8" s="1"/>
  <c r="K65" i="8" s="1"/>
  <c r="K66" i="8" s="1"/>
  <c r="K73" i="8"/>
  <c r="N99" i="9"/>
  <c r="N101" i="9" s="1"/>
  <c r="K72" i="8"/>
  <c r="M38" i="10"/>
  <c r="K74" i="8"/>
  <c r="K75" i="8"/>
  <c r="M38" i="3"/>
  <c r="E90" i="10"/>
  <c r="M90" i="10"/>
  <c r="M67" i="10"/>
  <c r="M84" i="10"/>
  <c r="M76" i="10"/>
  <c r="E89" i="10"/>
  <c r="M89" i="10"/>
  <c r="N60" i="9"/>
  <c r="N86" i="9"/>
  <c r="N94" i="9"/>
  <c r="N36" i="9"/>
  <c r="M76" i="8"/>
  <c r="G74" i="8"/>
  <c r="L74" i="8"/>
  <c r="M84" i="8"/>
  <c r="G72" i="3"/>
  <c r="L72" i="3"/>
  <c r="L73" i="8"/>
  <c r="G73" i="8"/>
  <c r="M67" i="8"/>
  <c r="G75" i="3"/>
  <c r="L75" i="3"/>
  <c r="G72" i="8"/>
  <c r="L72" i="8"/>
  <c r="G73" i="3"/>
  <c r="L73" i="3"/>
  <c r="L75" i="8"/>
  <c r="G75" i="8"/>
  <c r="G74" i="3"/>
  <c r="L74" i="3"/>
  <c r="M76" i="3"/>
  <c r="M67" i="3"/>
  <c r="E90" i="8"/>
  <c r="M90" i="8"/>
  <c r="M91" i="8" s="1"/>
  <c r="M84" i="3"/>
  <c r="L225" i="10" l="1"/>
  <c r="M91" i="10"/>
  <c r="L222" i="10" s="1"/>
  <c r="M163" i="9"/>
  <c r="M160" i="9"/>
  <c r="L76" i="8"/>
  <c r="L225" i="3"/>
  <c r="L225" i="8"/>
  <c r="M166" i="9" l="1"/>
  <c r="M167" i="9"/>
  <c r="J164" i="9"/>
  <c r="L222" i="8"/>
  <c r="L226" i="8" s="1"/>
  <c r="E111" i="3" l="1" a="1"/>
  <c r="E111" i="3" s="1"/>
  <c r="G81" i="3"/>
  <c r="G82" i="3"/>
  <c r="G83" i="3"/>
  <c r="M111" i="3" l="1" a="1"/>
  <c r="M111" i="3" s="1"/>
  <c r="K82" i="3"/>
  <c r="M112" i="3" l="1"/>
  <c r="L223" i="3" s="1"/>
  <c r="L82" i="3"/>
  <c r="L83" i="3"/>
  <c r="L81" i="3"/>
  <c r="L84" i="3" l="1"/>
  <c r="L25" i="3" l="1"/>
  <c r="L67" i="3" l="1"/>
  <c r="M125" i="3"/>
  <c r="M126" i="3"/>
  <c r="L76" i="3" l="1"/>
  <c r="K11" i="4" l="1"/>
  <c r="G36" i="3" l="1"/>
  <c r="M124" i="3"/>
  <c r="M127" i="3" s="1"/>
  <c r="L224" i="3" s="1"/>
  <c r="M90" i="3"/>
  <c r="M89" i="3"/>
  <c r="E90" i="3"/>
  <c r="E89" i="3"/>
  <c r="G33" i="3"/>
  <c r="G32" i="3"/>
  <c r="G31" i="3"/>
  <c r="G30" i="3"/>
  <c r="G29" i="3"/>
  <c r="G28" i="3"/>
  <c r="G27" i="3"/>
  <c r="G25" i="3"/>
  <c r="M91" i="3" l="1"/>
  <c r="G26" i="3"/>
  <c r="L36" i="3"/>
  <c r="L29" i="3"/>
  <c r="L33" i="3"/>
  <c r="L27" i="3"/>
  <c r="L31" i="3"/>
  <c r="L26" i="3"/>
  <c r="L30" i="3"/>
  <c r="L28" i="3"/>
  <c r="L32" i="3"/>
  <c r="L38" i="3" l="1"/>
  <c r="L222" i="3" s="1"/>
  <c r="L2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<sst xmlns="http://schemas.openxmlformats.org/spreadsheetml/2006/main" count="1538" uniqueCount="432">
  <si>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</si>
  <si>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</si>
  <si>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</si>
  <si>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</si>
  <si>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</si>
  <si>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</si>
  <si>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</si>
  <si>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</si>
  <si>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</si>
  <si>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</si>
  <si>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</si>
  <si>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</si>
  <si>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</si>
  <si>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</si>
  <si>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</si>
  <si>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</si>
  <si>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</si>
  <si>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</si>
  <si>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</si>
  <si>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</si>
  <si>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</si>
  <si>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</si>
  <si>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</si>
  <si>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</si>
  <si>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</si>
  <si>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</si>
  <si>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</si>
  <si>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</si>
  <si>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</si>
  <si>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</si>
  <si>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</si>
  <si>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</si>
  <si>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</si>
  <si>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</si>
  <si>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</si>
  <si>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</si>
  <si>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</si>
  <si>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</si>
  <si>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</si>
  <si>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</si>
  <si>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</si>
  <si>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</si>
  <si>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</si>
  <si>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</si>
  <si>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</si>
  <si>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</si>
  <si>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</si>
  <si>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</si>
  <si>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</si>
  <si>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</si>
  <si>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</si>
  <si>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</si>
  <si>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</si>
  <si>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</si>
  <si>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</si>
  <si>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</si>
  <si>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</si>
  <si>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</si>
  <si>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</si>
  <si>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</si>
  <si>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</si>
  <si>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</si>
  <si>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</si>
  <si>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</si>
  <si>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</si>
  <si>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</si>
  <si>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</si>
  <si>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</si>
  <si>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</si>
  <si>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</si>
  <si>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</si>
  <si>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</si>
  <si>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</si>
  <si>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</si>
  <si>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</si>
  <si>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</si>
  <si>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</si>
  <si>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</si>
  <si>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</si>
  <si>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</si>
  <si>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</si>
  <si>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</si>
  <si>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</si>
  <si>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</si>
  <si>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</si>
  <si>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</si>
  <si>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</si>
  <si>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</si>
  <si>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</si>
  <si>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</si>
  <si>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</si>
  <si>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</si>
  <si>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</si>
  <si>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</si>
  <si>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</si>
  <si>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</si>
  <si>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</si>
  <si>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</si>
  <si>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</si>
  <si>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</si>
  <si>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</si>
  <si>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</si>
  <si>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</si>
  <si>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</si>
  <si>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</si>
  <si>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</si>
  <si>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</si>
  <si>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</si>
  <si>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</si>
  <si>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</si>
  <si>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</si>
  <si>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</si>
  <si>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</si>
  <si>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</si>
  <si>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</si>
  <si>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</si>
  <si>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</si>
  <si>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</si>
  <si>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</si>
  <si>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</si>
  <si>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</si>
  <si>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Saferoute / IP-VPN</t>
  </si>
  <si>
    <t>NET-byoip</t>
  </si>
  <si>
    <t>Bring your own IP prefixes</t>
  </si>
  <si>
    <t>Software and licenses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</si>
  <si>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</si>
  <si>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</si>
  <si>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</si>
  <si>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</si>
  <si>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</si>
  <si>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</si>
  <si>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</si>
  <si>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</si>
  <si>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</si>
  <si>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</si>
  <si>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</si>
  <si>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</si>
  <si>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</si>
  <si>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</si>
  <si>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</si>
  <si>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</si>
  <si>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</si>
  <si>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</si>
  <si>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</si>
  <si>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</si>
  <si>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</si>
  <si>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</si>
  <si>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</si>
  <si>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</si>
  <si>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</si>
  <si>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</si>
  <si>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</si>
  <si>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</si>
  <si>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</si>
  <si>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</si>
  <si>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</si>
  <si>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</si>
  <si>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</si>
  <si>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</si>
  <si>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</si>
  <si>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</si>
  <si>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</si>
  <si>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</si>
  <si>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</si>
  <si>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</si>
  <si>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</si>
  <si>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</si>
  <si>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</si>
  <si>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</si>
  <si>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</si>
  <si>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</si>
  <si>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</si>
  <si>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</si>
  <si>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</si>
  <si>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</si>
  <si>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</si>
  <si>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</si>
  <si>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</si>
  <si>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</si>
  <si>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</si>
  <si>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</si>
  <si>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</si>
  <si>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</si>
  <si>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</si>
  <si>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</si>
  <si>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</si>
  <si>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</si>
  <si>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</si>
  <si>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</si>
  <si>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</si>
  <si>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</si>
  <si>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</si>
  <si>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</si>
  <si>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</si>
  <si>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</si>
  <si>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</si>
  <si>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</si>
  <si>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</si>
  <si>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</si>
  <si>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</si>
  <si>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</si>
  <si>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</si>
  <si>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</si>
  <si>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</si>
  <si>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</si>
  <si>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</si>
  <si>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</si>
  <si>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</si>
  <si>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</si>
  <si>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</si>
  <si>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</si>
  <si>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</si>
  <si>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</si>
  <si>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</si>
  <si>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</si>
  <si>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</si>
  <si>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</si>
  <si>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</si>
  <si>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</si>
  <si>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</si>
  <si>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</si>
  <si>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</si>
  <si>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</si>
  <si>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</si>
  <si>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</si>
  <si>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</si>
  <si>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</si>
  <si>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</si>
  <si>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</si>
  <si>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</si>
  <si>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</si>
  <si>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</si>
  <si>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</si>
  <si>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</si>
  <si>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</si>
  <si>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</si>
  <si>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</si>
  <si>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</si>
  <si>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</si>
  <si>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</si>
  <si>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</si>
  <si>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</si>
  <si>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</si>
  <si>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</si>
  <si>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</si>
  <si>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</si>
  <si>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</si>
  <si>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</si>
  <si>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</si>
  <si>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</si>
  <si>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</si>
  <si>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</si>
  <si>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</si>
  <si>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</si>
  <si>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</si>
  <si>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</si>
  <si>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</si>
  <si>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</si>
  <si>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</si>
  <si>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</si>
  <si>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</si>
  <si>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</si>
  <si>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</si>
  <si>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</si>
  <si>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</si>
  <si>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</si>
  <si>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</si>
  <si>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</si>
  <si>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</si>
  <si>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</si>
  <si>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</si>
  <si>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</si>
  <si>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</si>
  <si>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</si>
  <si>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</si>
  <si>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</si>
  <si>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</si>
  <si>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</si>
  <si>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</si>
  <si>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</si>
  <si>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</si>
  <si>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</si>
  <si>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</si>
  <si>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</si>
  <si>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</si>
  <si>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</si>
  <si>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</si>
  <si>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</si>
  <si>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</si>
  <si>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</si>
  <si>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</si>
  <si>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</si>
  <si>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</si>
  <si>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</si>
  <si>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</si>
  <si>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</si>
  <si>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</si>
  <si>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</si>
  <si>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</si>
  <si>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</si>
  <si>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</si>
  <si>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</si>
  <si>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</si>
  <si>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</si>
  <si>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</si>
  <si>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</si>
  <si>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</si>
  <si>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</si>
  <si>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</si>
  <si>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</si>
  <si>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</si>
  <si>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</si>
  <si>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</si>
  <si>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</si>
  <si>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</si>
  <si>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</si>
  <si>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</si>
  <si>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</si>
  <si>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</si>
  <si>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</si>
  <si>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</si>
  <si>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</si>
  <si>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</si>
  <si>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</si>
  <si>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</si>
  <si>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</si>
  <si>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</si>
  <si>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</si>
  <si>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</si>
  <si>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</si>
  <si>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</si>
  <si>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</si>
  <si>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</si>
  <si>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</si>
  <si>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</si>
  <si>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</si>
  <si>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</si>
  <si>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</si>
  <si>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</si>
  <si>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</si>
  <si>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</si>
  <si>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</si>
  <si>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</si>
  <si>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</si>
  <si>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</si>
  <si>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</si>
  <si>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</si>
  <si>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</si>
  <si>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</si>
  <si>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</si>
  <si>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</si>
  <si>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</si>
  <si>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</si>
  <si>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</si>
  <si>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</si>
  <si>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</si>
  <si>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</si>
  <si>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</si>
  <si>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</si>
  <si>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</si>
  <si>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</si>
  <si>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</si>
  <si>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</si>
  <si>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</si>
  <si>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</si>
  <si>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</si>
  <si>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</si>
  <si>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</si>
  <si>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</si>
  <si>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</si>
  <si>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</si>
  <si>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</si>
  <si>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</si>
  <si>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</si>
  <si>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</si>
  <si>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</si>
  <si>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</si>
  <si>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</si>
  <si>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</si>
  <si>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</si>
  <si>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</si>
  <si>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</si>
  <si>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</si>
  <si>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</si>
  <si>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</si>
  <si>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</si>
  <si>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</si>
  <si>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</si>
  <si>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</si>
  <si>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</si>
  <si>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</si>
  <si>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</si>
  <si>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</si>
  <si>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</si>
  <si>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</si>
  <si>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</si>
  <si>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</si>
  <si>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</si>
  <si>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</si>
  <si>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</si>
  <si>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</si>
  <si>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</si>
  <si>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</si>
  <si>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</si>
  <si>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</si>
  <si>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</si>
  <si>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</si>
  <si>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</si>
  <si>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</si>
  <si>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</si>
  <si>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</si>
  <si>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</si>
  <si>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</si>
  <si>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</si>
  <si>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</si>
  <si>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</si>
  <si>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</si>
  <si>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</si>
  <si>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500 kr - 1 000 kr</t>
  </si>
  <si>
    <t>50 € - 100 €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</si>
  <si>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</si>
  <si>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</si>
  <si>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</si>
  <si>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</si>
  <si>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</si>
  <si>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</si>
  <si>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</si>
  <si>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</si>
  <si>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Price calculator 2021-06-29</t>
  </si>
  <si>
    <t>Priskalkylator 2021-06-29</t>
  </si>
  <si>
    <t>Priskalkulator 2021-06-29</t>
  </si>
  <si>
    <t>Telefon: +46 855 10 73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</si>
</sst>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_-* #,##0.000\ [$€-1]_-;\-* #,##0.000\ [$€-1]_-;_-* &quot;-&quot;???\ [$€-1]_-;_-@_-"/>
    <numFmt numFmtId="180" formatCode="0.000%"/>
    <numFmt numFmtId="181" formatCode="0.0000%"/>
    <numFmt numFmtId="182" formatCode="#,##0.00\ [$SEK]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8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0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1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2" fontId="4" fillId="2" borderId="0" xfId="2" applyNumberFormat="1" applyFont="1" applyFill="1" applyAlignment="1" applyProtection="1">
      <alignment horizontal="right" vertical="center" readingOrder="1"/>
      <protection hidden="1"/>
    </xf>
    <xf numFmtId="182" fontId="9" fillId="2" borderId="0" xfId="0" applyNumberFormat="1" applyFont="1" applyFill="1" applyBorder="1" applyAlignment="1" applyProtection="1">
      <alignment horizontal="right" vertical="center"/>
      <protection hidden="1"/>
    </xf>
    <xf numFmtId="182" fontId="9" fillId="2" borderId="6" xfId="0" applyNumberFormat="1" applyFont="1" applyFill="1" applyBorder="1" applyAlignment="1" applyProtection="1">
      <alignment horizontal="right" vertical="center"/>
      <protection hidden="1"/>
    </xf>
    <xf numFmtId="182" fontId="0" fillId="2" borderId="6" xfId="0" applyNumberFormat="1" applyFill="1" applyBorder="1" applyAlignment="1" applyProtection="1">
      <alignment horizontal="right"/>
    </xf>
    <xf numFmtId="182" fontId="49" fillId="2" borderId="6" xfId="0" applyNumberFormat="1" applyFont="1" applyFill="1" applyBorder="1" applyAlignment="1" applyProtection="1">
      <alignment horizontal="right"/>
    </xf>
    <xf numFmtId="182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Alignment="1" applyProtection="1">
      <alignment horizontal="right" vertical="center" indent="1" shrinkToFit="1" readingOrder="1"/>
      <protection hidden="1"/>
    </xf>
    <xf numFmtId="0" fontId="37" fillId="0" borderId="6" xfId="0" applyFont="1" applyFill="1" applyBorder="1" applyAlignment="1" applyProtection="1">
      <alignment horizontal="right" vertical="center" indent="2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right" vertical="center" indent="1" shrinkToFit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7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5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7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EUR - Safespring services 2021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A022B1C8-274B-CB47-A2CF-57AC33DFB9E2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E7A63-E7B6-214D-8495-4D109630528C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38280-2992-F244-B148-FA11ED602039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F85B84-44C8-2549-A79F-2EB0A27260FE}"/>
            </a:ext>
          </a:extLst>
        </xdr:cNvPr>
        <xdr:cNvSpPr/>
      </xdr:nvSpPr>
      <xdr:spPr>
        <a:xfrm>
          <a:off x="43942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A84E154E-7938-5247-8FEA-7FDE2D4F289B}"/>
            </a:ext>
          </a:extLst>
        </xdr:cNvPr>
        <xdr:cNvSpPr/>
      </xdr:nvSpPr>
      <xdr:spPr>
        <a:xfrm>
          <a:off x="569595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4719CC-9314-9A4C-B2A1-597CFCD9DF9C}"/>
            </a:ext>
          </a:extLst>
        </xdr:cNvPr>
        <xdr:cNvSpPr/>
      </xdr:nvSpPr>
      <xdr:spPr>
        <a:xfrm>
          <a:off x="69977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849ED-E47C-D643-913D-0FBB3D8F54E4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17CB2-7077-5540-A259-77B38ACF4A37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5F334444-4A2A-8A45-A12E-781B4518CBD8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13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4"/>
      <c r="L4" s="166"/>
      <c r="M4" s="626"/>
      <c r="N4" s="164"/>
      <c r="O4" s="167"/>
    </row>
    <row r="5" spans="1:28" s="168" customFormat="1" ht="25.5" customHeight="1">
      <c r="A5" s="164"/>
      <c r="B5" s="67" t="s">
        <v>429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6"/>
      <c r="N7" s="164"/>
      <c r="O7" s="167"/>
    </row>
    <row r="8" spans="1:28" s="168" customFormat="1" ht="25.5" customHeight="1">
      <c r="A8" s="164"/>
      <c r="B8" s="70" t="s">
        <v>203</v>
      </c>
      <c r="C8" s="63"/>
      <c r="D8" s="70" t="s">
        <v>204</v>
      </c>
      <c r="E8" s="2"/>
      <c r="F8" s="164"/>
      <c r="G8" s="164"/>
      <c r="H8" s="164"/>
      <c r="I8" s="164"/>
      <c r="J8" s="164"/>
      <c r="K8" s="164"/>
      <c r="L8" s="166"/>
      <c r="M8" s="626"/>
      <c r="N8" s="164"/>
      <c r="O8" s="167"/>
    </row>
    <row r="9" spans="1:28" s="168" customFormat="1" ht="25.5" customHeight="1">
      <c r="A9" s="164"/>
      <c r="B9" s="79" t="s">
        <v>205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6"/>
      <c r="N9" s="164"/>
      <c r="O9" s="167"/>
    </row>
    <row r="10" spans="1:28" s="168" customFormat="1" ht="25.5" customHeight="1">
      <c r="A10" s="164"/>
      <c r="B10" s="433" t="s">
        <v>196</v>
      </c>
      <c r="C10" s="435"/>
      <c r="D10" s="2"/>
      <c r="E10" s="2"/>
      <c r="F10" s="164"/>
      <c r="G10" s="164"/>
      <c r="H10" s="164"/>
      <c r="I10" s="164"/>
      <c r="J10" s="164"/>
      <c r="K10" s="164"/>
      <c r="L10" s="166"/>
      <c r="M10" s="626"/>
      <c r="N10" s="164"/>
      <c r="O10" s="167"/>
    </row>
    <row r="11" spans="1:28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69"/>
      <c r="L11" s="174"/>
      <c r="M11" s="627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8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9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9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L15" s="190"/>
      <c r="M15" s="63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L16" s="190"/>
      <c r="M16" s="63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L17" s="190"/>
      <c r="M17" s="630"/>
      <c r="O17" s="191"/>
      <c r="U17" s="192"/>
      <c r="Z17" s="192"/>
      <c r="AA17" s="192"/>
      <c r="AB17" s="192"/>
    </row>
    <row r="18" spans="2:28" s="187" customFormat="1" ht="25.5" customHeight="1">
      <c r="B18" s="612" t="s">
        <v>414</v>
      </c>
      <c r="C18" s="612"/>
      <c r="D18" s="612"/>
      <c r="E18" s="612"/>
      <c r="F18" s="602"/>
      <c r="H18" s="188"/>
      <c r="J18" s="189"/>
      <c r="L18" s="190"/>
      <c r="M18" s="63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415</v>
      </c>
      <c r="C19" s="700"/>
      <c r="D19" s="700"/>
      <c r="E19" s="700"/>
      <c r="F19" s="700"/>
      <c r="G19" s="194"/>
      <c r="H19" s="195"/>
      <c r="I19" s="194"/>
      <c r="J19" s="196"/>
      <c r="K19" s="194"/>
      <c r="L19" s="198"/>
      <c r="M19" s="631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5" t="s">
        <v>416</v>
      </c>
      <c r="C20" s="614"/>
      <c r="D20" s="614"/>
      <c r="E20" s="614"/>
      <c r="F20" s="601"/>
      <c r="G20" s="194"/>
      <c r="H20" s="195"/>
      <c r="I20" s="194"/>
      <c r="J20" s="196"/>
      <c r="K20" s="194"/>
      <c r="L20" s="198"/>
      <c r="M20" s="631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4"/>
      <c r="L21" s="198"/>
      <c r="M21" s="631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631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210</v>
      </c>
      <c r="C23" s="11"/>
      <c r="D23" s="11"/>
      <c r="I23" s="168"/>
      <c r="K23" s="168"/>
      <c r="L23" s="204"/>
      <c r="M23" s="632"/>
      <c r="O23" s="205"/>
      <c r="P23" s="525"/>
    </row>
    <row r="24" spans="2:28" s="210" customFormat="1" ht="52">
      <c r="B24" s="482" t="s">
        <v>211</v>
      </c>
      <c r="C24" s="13" t="s">
        <v>10</v>
      </c>
      <c r="D24" s="13" t="s">
        <v>11</v>
      </c>
      <c r="E24" s="14" t="s">
        <v>212</v>
      </c>
      <c r="F24" s="206"/>
      <c r="G24" s="207" t="s">
        <v>213</v>
      </c>
      <c r="H24" s="207" t="s">
        <v>214</v>
      </c>
      <c r="I24" s="208" t="s">
        <v>215</v>
      </c>
      <c r="J24" s="208" t="s">
        <v>216</v>
      </c>
      <c r="K24" s="209"/>
      <c r="L24" s="207" t="s">
        <v>218</v>
      </c>
      <c r="M24" s="633" t="s">
        <v>219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671">
        <f t="shared" ref="M25:M37" si="2">J25*C25*SW_win.ser.201X_SEK</f>
        <v>0</v>
      </c>
      <c r="O25" s="219"/>
      <c r="P25" s="611"/>
      <c r="R25" s="527"/>
      <c r="T25" s="526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470">
        <v>40</v>
      </c>
      <c r="F26" s="220"/>
      <c r="G26" s="221">
        <f t="shared" si="0"/>
        <v>0.46388888888888891</v>
      </c>
      <c r="H26" s="222">
        <f t="shared" ref="H26:H37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672">
        <f t="shared" si="2"/>
        <v>0</v>
      </c>
      <c r="O26" s="219"/>
      <c r="P26" s="524"/>
      <c r="R26" s="527"/>
      <c r="S26" s="526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671">
        <f t="shared" si="2"/>
        <v>0</v>
      </c>
      <c r="N27" s="224"/>
      <c r="O27" s="219"/>
      <c r="P27" s="524"/>
      <c r="R27" s="527"/>
      <c r="S27" s="526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470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672">
        <f t="shared" si="2"/>
        <v>0</v>
      </c>
      <c r="N28" s="224"/>
      <c r="O28" s="219"/>
      <c r="P28" s="524"/>
      <c r="R28" s="527"/>
      <c r="S28" s="526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671">
        <f t="shared" si="2"/>
        <v>0</v>
      </c>
      <c r="N29" s="224"/>
      <c r="O29" s="219"/>
      <c r="P29" s="524"/>
      <c r="R29" s="527"/>
      <c r="S29" s="611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470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672">
        <f t="shared" si="2"/>
        <v>0</v>
      </c>
      <c r="N30" s="224"/>
      <c r="O30" s="219"/>
      <c r="P30" s="524"/>
      <c r="R30" s="527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671">
        <f t="shared" si="2"/>
        <v>0</v>
      </c>
      <c r="N31" s="224"/>
      <c r="O31" s="219"/>
      <c r="P31" s="524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470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672">
        <f t="shared" si="2"/>
        <v>0</v>
      </c>
      <c r="N32" s="224"/>
      <c r="O32" s="219"/>
      <c r="P32" s="524"/>
    </row>
    <row r="33" spans="1:22" s="192" customFormat="1" ht="25.5" customHeight="1">
      <c r="B33" s="483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671">
        <f t="shared" si="2"/>
        <v>0</v>
      </c>
      <c r="N33" s="224"/>
      <c r="O33" s="219"/>
      <c r="P33" s="524"/>
    </row>
    <row r="34" spans="1:22" s="192" customFormat="1" ht="25.5" customHeight="1">
      <c r="B34" s="484" t="s">
        <v>28</v>
      </c>
      <c r="C34" s="18">
        <v>8</v>
      </c>
      <c r="D34" s="18">
        <v>32</v>
      </c>
      <c r="E34" s="470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20" t="s">
        <v>60</v>
      </c>
      <c r="L34" s="223">
        <f t="shared" si="1"/>
        <v>0</v>
      </c>
      <c r="M34" s="672">
        <f t="shared" si="2"/>
        <v>0</v>
      </c>
      <c r="N34" s="224"/>
      <c r="O34" s="219"/>
      <c r="P34" s="524"/>
      <c r="T34" s="200"/>
      <c r="U34" s="200"/>
      <c r="V34" s="200"/>
    </row>
    <row r="35" spans="1:22" s="192" customFormat="1" ht="25.5" customHeight="1">
      <c r="B35" s="483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4" t="s">
        <v>60</v>
      </c>
      <c r="L35" s="218">
        <f t="shared" si="1"/>
        <v>0</v>
      </c>
      <c r="M35" s="671">
        <f t="shared" si="2"/>
        <v>0</v>
      </c>
      <c r="N35" s="224"/>
      <c r="O35" s="219"/>
      <c r="T35" s="200"/>
      <c r="U35" s="200"/>
      <c r="V35" s="200"/>
    </row>
    <row r="36" spans="1:22" s="192" customFormat="1" ht="25.5" customHeight="1">
      <c r="B36" s="484" t="s">
        <v>404</v>
      </c>
      <c r="C36" s="18">
        <v>32</v>
      </c>
      <c r="D36" s="18">
        <v>128</v>
      </c>
      <c r="E36" s="470">
        <v>40</v>
      </c>
      <c r="F36" s="220"/>
      <c r="G36" s="221">
        <f t="shared" si="0"/>
        <v>13.533333333333333</v>
      </c>
      <c r="H36" s="222">
        <f t="shared" si="3"/>
        <v>9744</v>
      </c>
      <c r="I36" s="217"/>
      <c r="J36" s="217"/>
      <c r="K36" s="220" t="s">
        <v>60</v>
      </c>
      <c r="L36" s="223">
        <f t="shared" si="1"/>
        <v>0</v>
      </c>
      <c r="M36" s="672">
        <f t="shared" si="2"/>
        <v>0</v>
      </c>
      <c r="N36" s="224"/>
      <c r="O36" s="219"/>
      <c r="P36" s="524"/>
      <c r="T36" s="200"/>
      <c r="U36" s="200"/>
      <c r="V36" s="200"/>
    </row>
    <row r="37" spans="1:22" s="192" customFormat="1" ht="25.5" customHeight="1">
      <c r="B37" s="483" t="s">
        <v>405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3"/>
        <v>19344</v>
      </c>
      <c r="I37" s="217"/>
      <c r="J37" s="217"/>
      <c r="K37" s="214" t="s">
        <v>60</v>
      </c>
      <c r="L37" s="218">
        <f t="shared" si="1"/>
        <v>0</v>
      </c>
      <c r="M37" s="671">
        <f t="shared" si="2"/>
        <v>0</v>
      </c>
      <c r="N37" s="224"/>
      <c r="O37" s="219"/>
      <c r="T37" s="200"/>
      <c r="U37" s="200"/>
      <c r="V37" s="200"/>
    </row>
    <row r="38" spans="1:22" s="600" customFormat="1" ht="25.5" customHeight="1">
      <c r="A38" s="192"/>
      <c r="B38" s="604" t="s">
        <v>86</v>
      </c>
      <c r="C38" s="605" t="str">
        <f t="array" ref="C38">SUM(list_vCPU*list_Antal_instanser)&amp;" st"</f>
        <v>0 st</v>
      </c>
      <c r="D38" s="605" t="str">
        <f t="array" ref="D38">SUM(list_RAM__GB*Antal_instanser)&amp;" GB"</f>
        <v>0 GB</v>
      </c>
      <c r="E38" s="603" t="str">
        <f t="array" ref="E38">SUM(Disk__GB*Antal_instanser)&amp;" GB"</f>
        <v>0 GB</v>
      </c>
      <c r="I38" s="605" t="str">
        <f>SUM(I25:I37)&amp;" st"</f>
        <v>0 st</v>
      </c>
      <c r="J38" s="605" t="str">
        <f>SUM(J25:J37)&amp;" st"</f>
        <v>0 st</v>
      </c>
      <c r="L38" s="598">
        <f>SUM(L25:L37)</f>
        <v>0</v>
      </c>
      <c r="M38" s="673">
        <f>SUM(M25:M37)</f>
        <v>0</v>
      </c>
      <c r="N38" s="224"/>
      <c r="O38" s="205"/>
    </row>
    <row r="39" spans="1:22" ht="25.5" customHeight="1">
      <c r="A39" s="192"/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7"/>
      <c r="O39" s="205"/>
      <c r="T39" s="200"/>
      <c r="U39" s="200"/>
      <c r="V39" s="228"/>
    </row>
    <row r="40" spans="1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7"/>
      <c r="O40" s="205"/>
      <c r="T40" s="200"/>
      <c r="U40" s="200"/>
      <c r="V40" s="228"/>
    </row>
    <row r="41" spans="1:22" s="237" customFormat="1" ht="31">
      <c r="B41" s="449" t="s">
        <v>220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8"/>
      <c r="O41" s="238"/>
      <c r="T41" s="239"/>
      <c r="U41" s="239"/>
      <c r="V41" s="240"/>
    </row>
    <row r="42" spans="1:22" s="241" customFormat="1" ht="52">
      <c r="B42" s="482" t="s">
        <v>211</v>
      </c>
      <c r="C42" s="13" t="s">
        <v>10</v>
      </c>
      <c r="D42" s="13" t="s">
        <v>11</v>
      </c>
      <c r="E42" s="14" t="s">
        <v>212</v>
      </c>
      <c r="F42" s="206"/>
      <c r="G42" s="207" t="s">
        <v>213</v>
      </c>
      <c r="H42" s="207" t="s">
        <v>214</v>
      </c>
      <c r="I42" s="208" t="s">
        <v>215</v>
      </c>
      <c r="J42" s="208" t="s">
        <v>216</v>
      </c>
      <c r="K42" s="209"/>
      <c r="L42" s="207" t="s">
        <v>218</v>
      </c>
      <c r="M42" s="633" t="s">
        <v>219</v>
      </c>
      <c r="O42" s="205"/>
      <c r="P42" s="202"/>
      <c r="Q42" s="202"/>
      <c r="R42" s="202"/>
      <c r="S42" s="202"/>
      <c r="T42" s="200"/>
      <c r="U42" s="200"/>
      <c r="V42" s="228"/>
    </row>
    <row r="43" spans="1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6" si="6">H43/720</f>
        <v>0.2013888888888889</v>
      </c>
      <c r="H43" s="248">
        <f t="shared" ref="H43:H66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671">
        <f t="shared" ref="M43:M66" si="9">J43*C43*SW_win.ser.201X_SEK</f>
        <v>0</v>
      </c>
      <c r="O43" s="219"/>
      <c r="P43" s="611"/>
      <c r="T43" s="200"/>
      <c r="V43" s="200"/>
    </row>
    <row r="44" spans="1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672">
        <f t="shared" si="9"/>
        <v>0</v>
      </c>
      <c r="O44" s="219"/>
      <c r="T44" s="200"/>
      <c r="V44" s="200"/>
    </row>
    <row r="45" spans="1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671">
        <f t="shared" si="9"/>
        <v>0</v>
      </c>
      <c r="O45" s="219"/>
      <c r="T45" s="200"/>
      <c r="V45" s="200"/>
    </row>
    <row r="46" spans="1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672">
        <f t="shared" si="9"/>
        <v>0</v>
      </c>
      <c r="O46" s="219"/>
      <c r="T46" s="200"/>
      <c r="V46" s="200"/>
    </row>
    <row r="47" spans="1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671">
        <f t="shared" si="9"/>
        <v>0</v>
      </c>
      <c r="O47" s="219"/>
      <c r="T47" s="200"/>
      <c r="V47" s="200"/>
    </row>
    <row r="48" spans="1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672">
        <f t="shared" si="9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671">
        <f t="shared" si="9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672">
        <f t="shared" si="9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671">
        <f t="shared" si="9"/>
        <v>0</v>
      </c>
      <c r="O51" s="219"/>
      <c r="Q51" s="611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672">
        <f t="shared" si="9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671">
        <f t="shared" si="9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672">
        <f t="shared" si="9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671">
        <f t="shared" si="9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672">
        <f t="shared" si="9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671">
        <f t="shared" si="9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243">
        <f t="shared" si="6"/>
        <v>4.0277777777777777</v>
      </c>
      <c r="H58" s="244">
        <f t="shared" si="7"/>
        <v>2900</v>
      </c>
      <c r="I58" s="217"/>
      <c r="J58" s="217"/>
      <c r="K58" s="251" t="s">
        <v>60</v>
      </c>
      <c r="L58" s="223">
        <f t="shared" si="8"/>
        <v>0</v>
      </c>
      <c r="M58" s="672">
        <f t="shared" si="9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247">
        <f t="shared" ref="G59:G60" si="10">H59/720</f>
        <v>4.7222222222222223</v>
      </c>
      <c r="H59" s="248">
        <f t="shared" ref="H59:H60" si="11">C59*IAAS_vcpu_SEK+D59*IAAS_ram_SEK+E59*IAAS_nvme_SEK</f>
        <v>3400</v>
      </c>
      <c r="I59" s="217"/>
      <c r="J59" s="217"/>
      <c r="K59" s="249" t="s">
        <v>60</v>
      </c>
      <c r="L59" s="218">
        <f t="shared" si="8"/>
        <v>0</v>
      </c>
      <c r="M59" s="671">
        <f t="shared" si="9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672">
        <f t="shared" si="9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6"/>
        <v>7.3611111111111107</v>
      </c>
      <c r="H61" s="248">
        <f t="shared" si="7"/>
        <v>5300</v>
      </c>
      <c r="I61" s="217"/>
      <c r="J61" s="217"/>
      <c r="K61" s="249" t="s">
        <v>60</v>
      </c>
      <c r="L61" s="218">
        <f t="shared" si="8"/>
        <v>0</v>
      </c>
      <c r="M61" s="671">
        <f t="shared" si="9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672">
        <f t="shared" si="9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671">
        <f t="shared" si="9"/>
        <v>0</v>
      </c>
      <c r="O63" s="219"/>
      <c r="T63" s="200"/>
      <c r="V63" s="200"/>
    </row>
    <row r="64" spans="2:22" s="192" customFormat="1" ht="2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672">
        <f t="shared" si="9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247">
        <f t="shared" ref="G65" si="12">H65/720</f>
        <v>14.722222222222221</v>
      </c>
      <c r="H65" s="248">
        <f t="shared" ref="H65" si="13">C65*IAAS_vcpu_SEK+D65*IAAS_ram_SEK+E65*IAAS_nvme_SEK</f>
        <v>10600</v>
      </c>
      <c r="I65" s="217"/>
      <c r="J65" s="217"/>
      <c r="K65" s="249" t="s">
        <v>60</v>
      </c>
      <c r="L65" s="218">
        <f t="shared" si="8"/>
        <v>0</v>
      </c>
      <c r="M65" s="671">
        <f t="shared" si="9"/>
        <v>0</v>
      </c>
      <c r="O65" s="219"/>
      <c r="T65" s="200"/>
      <c r="V65" s="200"/>
    </row>
    <row r="66" spans="2:23" s="192" customFormat="1" ht="2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243">
        <f t="shared" si="6"/>
        <v>28.055555555555557</v>
      </c>
      <c r="H66" s="244">
        <f t="shared" si="7"/>
        <v>20200</v>
      </c>
      <c r="I66" s="217"/>
      <c r="J66" s="217"/>
      <c r="K66" s="251" t="s">
        <v>60</v>
      </c>
      <c r="L66" s="223">
        <f t="shared" si="8"/>
        <v>0</v>
      </c>
      <c r="M66" s="672">
        <f t="shared" si="9"/>
        <v>0</v>
      </c>
      <c r="O66" s="219"/>
      <c r="T66" s="200"/>
      <c r="V66" s="200"/>
    </row>
    <row r="67" spans="2:23" s="192" customFormat="1" ht="25.5" customHeight="1">
      <c r="B67" s="599" t="s">
        <v>86</v>
      </c>
      <c r="C67" s="605" t="str">
        <f t="array" ref="C67">SUM(C43:C66*I43:I66)&amp;" st"</f>
        <v>0 st</v>
      </c>
      <c r="D67" s="605" t="str">
        <f t="array" ref="D67">SUM(D43:D66*I43:I66)&amp;" GB"</f>
        <v>0 GB</v>
      </c>
      <c r="E67" s="603" t="str">
        <f t="array" ref="E67">SUM(E43:E66*I43:I66)&amp;" GB"</f>
        <v>0 GB</v>
      </c>
      <c r="F67" s="606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3"/>
      <c r="L67" s="598">
        <f>SUM(L43:L66)</f>
        <v>0</v>
      </c>
      <c r="M67" s="673">
        <f>SUM(M43:M66)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1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1"/>
      <c r="O69" s="205"/>
      <c r="P69" s="192"/>
      <c r="T69" s="200"/>
      <c r="U69" s="200"/>
      <c r="V69" s="228"/>
    </row>
    <row r="70" spans="2:23" ht="25.5" customHeight="1">
      <c r="B70" s="491" t="s">
        <v>221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642"/>
      <c r="O70" s="205"/>
      <c r="T70" s="200"/>
      <c r="U70" s="200"/>
      <c r="V70" s="228"/>
    </row>
    <row r="71" spans="2:23" s="261" customFormat="1" ht="52">
      <c r="B71" s="482" t="s">
        <v>211</v>
      </c>
      <c r="C71" s="13" t="s">
        <v>222</v>
      </c>
      <c r="D71" s="13" t="s">
        <v>11</v>
      </c>
      <c r="E71" s="102" t="s">
        <v>32</v>
      </c>
      <c r="F71" s="206" t="s">
        <v>53</v>
      </c>
      <c r="G71" s="207" t="s">
        <v>213</v>
      </c>
      <c r="H71" s="207" t="s">
        <v>214</v>
      </c>
      <c r="I71" s="208" t="s">
        <v>215</v>
      </c>
      <c r="J71" s="208" t="s">
        <v>216</v>
      </c>
      <c r="K71" s="209"/>
      <c r="L71" s="207" t="s">
        <v>218</v>
      </c>
      <c r="M71" s="633" t="s">
        <v>219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67">
        <f t="shared" ref="G72:G73" si="14">H72/720</f>
        <v>9.6527777777777786</v>
      </c>
      <c r="H72" s="465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671">
        <f>J72*C72*SW_win.ser.201X_SEK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66">
        <f t="shared" si="14"/>
        <v>19.305555555555557</v>
      </c>
      <c r="H73" s="464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672">
        <f>J73*C73*SW_win.ser.201X_SEK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67">
        <f t="shared" ref="G74:G75" si="15">H74/720</f>
        <v>38.611111111111114</v>
      </c>
      <c r="H74" s="465">
        <f>C74*IAAS_vcpu_SEK+D74*IAAS_ram_SEK+E74*IAAS_nvme_SEK+F74*IAAS_gpu_SEK</f>
        <v>27800</v>
      </c>
      <c r="I74" s="217"/>
      <c r="J74" s="217"/>
      <c r="K74" s="249" t="str">
        <f>K66</f>
        <v>Instanser</v>
      </c>
      <c r="L74" s="218">
        <f>ROUNDUP(I74*H74,2)</f>
        <v>0</v>
      </c>
      <c r="M74" s="671">
        <f>J74*C74*SW_win.ser.201X_SEK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6">
        <f t="shared" si="15"/>
        <v>60.555555555555557</v>
      </c>
      <c r="H75" s="464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672">
        <f>J75*C75*SW_win.ser.201X_SEK</f>
        <v>0</v>
      </c>
      <c r="O75" s="219"/>
      <c r="T75" s="200"/>
      <c r="V75" s="200"/>
    </row>
    <row r="76" spans="2:23" s="268" customFormat="1" ht="25.5" customHeight="1">
      <c r="B76" s="599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8">
        <f>SUM(L72:L75)</f>
        <v>0</v>
      </c>
      <c r="M76" s="673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3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3"/>
      <c r="O78" s="219"/>
      <c r="T78" s="200"/>
      <c r="V78" s="200"/>
    </row>
    <row r="79" spans="2:23" s="237" customFormat="1" ht="31">
      <c r="B79" s="449" t="s">
        <v>406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3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47">
      <c r="B80" s="482" t="s">
        <v>211</v>
      </c>
      <c r="C80" s="13" t="s">
        <v>222</v>
      </c>
      <c r="D80" s="13" t="s">
        <v>11</v>
      </c>
      <c r="E80" s="14" t="s">
        <v>32</v>
      </c>
      <c r="F80" s="273"/>
      <c r="G80" s="207" t="s">
        <v>213</v>
      </c>
      <c r="H80" s="207" t="s">
        <v>214</v>
      </c>
      <c r="I80" s="274" t="s">
        <v>215</v>
      </c>
      <c r="J80" s="274" t="s">
        <v>216</v>
      </c>
      <c r="K80" s="209"/>
      <c r="L80" s="207" t="s">
        <v>218</v>
      </c>
      <c r="M80" s="633" t="s">
        <v>219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6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671">
        <f>J81*C81*SW_win.ser.201X_SEK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6"/>
        <v>19</v>
      </c>
      <c r="H82" s="244">
        <f>INSTANCE_p1.4xlarge.16d_SEK</f>
        <v>13680</v>
      </c>
      <c r="I82" s="217"/>
      <c r="J82" s="217"/>
      <c r="K82" s="220" t="str">
        <f t="shared" ref="K82" si="17">K81</f>
        <v>Instanser</v>
      </c>
      <c r="L82" s="223">
        <f>ROUNDUP(I82*H82,2)</f>
        <v>0</v>
      </c>
      <c r="M82" s="672">
        <f>J82*C82*SW_win.ser.201X_SEK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6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 t="shared" ref="L83" si="18">ROUNDUP(I83*H83,2)</f>
        <v>0</v>
      </c>
      <c r="M83" s="671">
        <f>J83*C83*SW_win.ser.201X_SEK</f>
        <v>0</v>
      </c>
      <c r="N83" s="280"/>
      <c r="O83" s="281"/>
    </row>
    <row r="84" spans="2:24" ht="25.5" customHeight="1">
      <c r="B84" s="20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8">
        <f>SUM(L81:L83)</f>
        <v>0</v>
      </c>
      <c r="M84" s="673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7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3"/>
      <c r="O86" s="219"/>
      <c r="T86" s="200"/>
      <c r="V86" s="200"/>
    </row>
    <row r="87" spans="2:24" ht="25.5" customHeight="1">
      <c r="B87" s="449" t="s">
        <v>223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3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211</v>
      </c>
      <c r="C88" s="26" t="s">
        <v>224</v>
      </c>
      <c r="D88" s="26"/>
      <c r="E88" s="139" t="s">
        <v>213</v>
      </c>
      <c r="F88" s="702" t="s">
        <v>225</v>
      </c>
      <c r="G88" s="702"/>
      <c r="H88" s="711"/>
      <c r="I88" s="711"/>
      <c r="J88" s="285" t="s">
        <v>66</v>
      </c>
      <c r="K88" s="284"/>
      <c r="L88" s="284"/>
      <c r="M88" s="644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09">
        <f>VOLUME_large_SEK</f>
        <v>1.2</v>
      </c>
      <c r="G89" s="709"/>
      <c r="H89" s="712"/>
      <c r="I89" s="712"/>
      <c r="J89" s="290"/>
      <c r="K89" s="517" t="s">
        <v>69</v>
      </c>
      <c r="L89" s="291"/>
      <c r="M89" s="663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83">
        <f>F90/720</f>
        <v>5.0000000000000001E-3</v>
      </c>
      <c r="F90" s="710">
        <f>VOLUME_fast_SEK</f>
        <v>3.6</v>
      </c>
      <c r="G90" s="710"/>
      <c r="H90" s="713"/>
      <c r="I90" s="713"/>
      <c r="J90" s="294"/>
      <c r="K90" s="518" t="s">
        <v>69</v>
      </c>
      <c r="L90" s="295"/>
      <c r="M90" s="674">
        <f>ROUNDUP(J90*F90,2)</f>
        <v>0</v>
      </c>
      <c r="N90" s="201"/>
      <c r="O90" s="219"/>
      <c r="X90" s="200"/>
    </row>
    <row r="91" spans="2:24" ht="25.5" customHeight="1">
      <c r="B91" s="485" t="s">
        <v>226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73">
        <f>SUM(M89:M90)</f>
        <v>0</v>
      </c>
      <c r="O91" s="205"/>
    </row>
    <row r="92" spans="2:24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7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7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7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63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63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630"/>
      <c r="O97" s="191"/>
    </row>
    <row r="98" spans="2:23" s="187" customFormat="1" ht="25.5" customHeight="1">
      <c r="B98" s="699" t="s">
        <v>227</v>
      </c>
      <c r="C98" s="699"/>
      <c r="D98" s="699"/>
      <c r="E98" s="699"/>
      <c r="F98" s="699"/>
      <c r="H98" s="188"/>
      <c r="J98" s="189"/>
      <c r="K98" s="189"/>
      <c r="M98" s="630"/>
      <c r="N98" s="194"/>
      <c r="O98" s="199"/>
    </row>
    <row r="99" spans="2:23" s="311" customFormat="1" ht="25.5" customHeight="1">
      <c r="B99" s="700" t="s">
        <v>228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648"/>
      <c r="N99" s="305"/>
      <c r="O99" s="310"/>
    </row>
    <row r="100" spans="2:23" s="187" customFormat="1" ht="25.5" customHeight="1">
      <c r="B100" s="8" t="s">
        <v>209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631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631"/>
      <c r="N101" s="198"/>
      <c r="O101" s="219"/>
      <c r="Q101" s="192"/>
      <c r="R101" s="192"/>
    </row>
    <row r="102" spans="2:23" s="187" customFormat="1" ht="25.5" customHeight="1">
      <c r="B102" s="482" t="s">
        <v>211</v>
      </c>
      <c r="C102" s="12" t="s">
        <v>229</v>
      </c>
      <c r="D102" s="702" t="s">
        <v>230</v>
      </c>
      <c r="E102" s="702"/>
      <c r="F102" s="702"/>
      <c r="G102" s="702"/>
      <c r="H102" s="702"/>
      <c r="I102" s="702"/>
      <c r="J102" s="702"/>
      <c r="K102" s="702"/>
      <c r="L102" s="588"/>
      <c r="M102" s="64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14">
        <f>S3_storage.50_SEK</f>
        <v>350</v>
      </c>
      <c r="E103" s="714"/>
      <c r="F103" s="714"/>
      <c r="G103" s="714"/>
      <c r="H103" s="714"/>
      <c r="I103" s="714"/>
      <c r="J103" s="714"/>
      <c r="K103" s="714"/>
      <c r="L103" s="591"/>
      <c r="M103" s="649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15">
        <f>S3_storage.100_SEK</f>
        <v>270</v>
      </c>
      <c r="E104" s="715"/>
      <c r="F104" s="715"/>
      <c r="G104" s="715"/>
      <c r="H104" s="715"/>
      <c r="I104" s="715"/>
      <c r="J104" s="715"/>
      <c r="K104" s="715"/>
      <c r="L104" s="585"/>
      <c r="M104" s="650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16">
        <f>S3_storage.500_SEK</f>
        <v>200</v>
      </c>
      <c r="E105" s="716"/>
      <c r="F105" s="716"/>
      <c r="G105" s="716"/>
      <c r="H105" s="716"/>
      <c r="I105" s="716"/>
      <c r="J105" s="716"/>
      <c r="K105" s="716"/>
      <c r="L105" s="590"/>
      <c r="M105" s="651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15">
        <f>S3_storage.1000_SEK</f>
        <v>185</v>
      </c>
      <c r="E106" s="715"/>
      <c r="F106" s="715"/>
      <c r="G106" s="715"/>
      <c r="H106" s="715"/>
      <c r="I106" s="715"/>
      <c r="J106" s="715"/>
      <c r="K106" s="715"/>
      <c r="L106" s="585"/>
      <c r="M106" s="650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S3_storage.quote_SEK</f>
        <v>Be om offert</v>
      </c>
      <c r="E107" s="717"/>
      <c r="F107" s="717"/>
      <c r="G107" s="717"/>
      <c r="H107" s="717"/>
      <c r="I107" s="717"/>
      <c r="J107" s="717"/>
      <c r="K107" s="717"/>
      <c r="L107" s="587"/>
      <c r="M107" s="652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1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631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211</v>
      </c>
      <c r="C110" s="26"/>
      <c r="D110" s="138"/>
      <c r="E110" s="610" t="s">
        <v>230</v>
      </c>
      <c r="G110" s="610"/>
      <c r="H110" s="285" t="s">
        <v>229</v>
      </c>
      <c r="I110" s="284"/>
      <c r="J110" s="284"/>
      <c r="K110" s="284"/>
      <c r="L110" s="284"/>
      <c r="M110" s="644" t="s">
        <v>84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27"/>
      <c r="E111" s="683" cm="1">
        <f t="array" ref="E111">_xlfn.IFS(H111&lt;51,D103,H111&lt;101,D104,H111&lt;501,D105,H111&lt;1001,D106,H111&gt;1000,D107)</f>
        <v>350</v>
      </c>
      <c r="F111" s="683"/>
      <c r="G111" s="683"/>
      <c r="H111" s="318"/>
      <c r="I111" s="519" t="s">
        <v>85</v>
      </c>
      <c r="J111" s="320"/>
      <c r="K111" s="320"/>
      <c r="L111" s="320"/>
      <c r="M111" s="675" cm="1">
        <f t="array" ref="M111">_xlfn.IFS(H111&lt;1001,ROUNDUP(H111*E111,2),H111&gt;1000,D107)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0"/>
      <c r="H112" s="231"/>
      <c r="I112" s="231"/>
      <c r="J112" s="231"/>
      <c r="K112" s="322"/>
      <c r="L112" s="322"/>
      <c r="M112" s="673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7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7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7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63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63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630"/>
      <c r="N118" s="190"/>
      <c r="O118" s="191"/>
    </row>
    <row r="119" spans="1:34" s="187" customFormat="1" ht="25.5" customHeight="1">
      <c r="B119" s="701" t="s">
        <v>88</v>
      </c>
      <c r="C119" s="701"/>
      <c r="D119" s="701"/>
      <c r="E119" s="701"/>
      <c r="F119" s="701"/>
      <c r="H119" s="188"/>
      <c r="J119" s="189"/>
      <c r="K119" s="189"/>
      <c r="L119" s="189"/>
      <c r="M119" s="630"/>
      <c r="N119" s="190"/>
      <c r="O119" s="199"/>
    </row>
    <row r="120" spans="1:34" s="187" customFormat="1" ht="25.5" customHeight="1">
      <c r="B120" s="704" t="s">
        <v>231</v>
      </c>
      <c r="C120" s="704"/>
      <c r="D120" s="704"/>
      <c r="E120" s="704"/>
      <c r="F120" s="704"/>
      <c r="G120" s="194"/>
      <c r="H120" s="195"/>
      <c r="I120" s="194"/>
      <c r="J120" s="196"/>
      <c r="K120" s="197"/>
      <c r="L120" s="197"/>
      <c r="M120" s="631"/>
      <c r="N120" s="198"/>
      <c r="O120" s="199"/>
    </row>
    <row r="121" spans="1:34" s="201" customFormat="1" ht="25.5" customHeight="1">
      <c r="B121" s="8" t="s">
        <v>232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631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3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211</v>
      </c>
      <c r="C123" s="702" t="s">
        <v>233</v>
      </c>
      <c r="D123" s="702"/>
      <c r="E123" s="138" t="s">
        <v>213</v>
      </c>
      <c r="F123" s="702" t="s">
        <v>225</v>
      </c>
      <c r="G123" s="702"/>
      <c r="H123" s="285" t="s">
        <v>91</v>
      </c>
      <c r="I123" s="284"/>
      <c r="J123" s="711" t="s">
        <v>234</v>
      </c>
      <c r="K123" s="711"/>
      <c r="L123" s="586"/>
      <c r="M123" s="644" t="s">
        <v>93</v>
      </c>
      <c r="N123" s="271"/>
      <c r="O123" s="205"/>
    </row>
    <row r="124" spans="1:34" ht="25.5" customHeight="1">
      <c r="A124" s="328"/>
      <c r="B124" s="582" t="s">
        <v>94</v>
      </c>
      <c r="C124" s="521"/>
      <c r="D124" s="31" t="s">
        <v>95</v>
      </c>
      <c r="E124" s="31" t="s">
        <v>95</v>
      </c>
      <c r="F124" s="688">
        <f>BAAS_on.demand_SEK</f>
        <v>2.4500000000000002</v>
      </c>
      <c r="G124" s="689"/>
      <c r="H124" s="329"/>
      <c r="I124" s="517" t="s">
        <v>69</v>
      </c>
      <c r="J124" s="687" t="s">
        <v>95</v>
      </c>
      <c r="K124" s="687"/>
      <c r="L124" s="330"/>
      <c r="M124" s="663">
        <f>ROUNDUP(H124*F124,2)</f>
        <v>0</v>
      </c>
      <c r="N124" s="271"/>
      <c r="O124" s="205"/>
    </row>
    <row r="125" spans="1:34" ht="25.5" customHeight="1">
      <c r="A125" s="328"/>
      <c r="B125" s="583" t="s">
        <v>96</v>
      </c>
      <c r="C125" s="523"/>
      <c r="D125" s="33">
        <v>5500</v>
      </c>
      <c r="E125" s="34" t="s">
        <v>95</v>
      </c>
      <c r="F125" s="690">
        <f>BAAS_small_SEK</f>
        <v>1.75</v>
      </c>
      <c r="G125" s="691"/>
      <c r="H125" s="331"/>
      <c r="I125" s="518" t="s">
        <v>69</v>
      </c>
      <c r="J125" s="696">
        <v>0.75</v>
      </c>
      <c r="K125" s="697"/>
      <c r="L125" s="295"/>
      <c r="M125" s="674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4" t="s">
        <v>97</v>
      </c>
      <c r="C126" s="522"/>
      <c r="D126" s="35">
        <v>9500</v>
      </c>
      <c r="E126" s="37" t="s">
        <v>95</v>
      </c>
      <c r="F126" s="694">
        <f>BAAS_large_SEK</f>
        <v>0.92</v>
      </c>
      <c r="G126" s="695"/>
      <c r="H126" s="318"/>
      <c r="I126" s="519" t="s">
        <v>69</v>
      </c>
      <c r="J126" s="692">
        <v>0.75</v>
      </c>
      <c r="K126" s="693"/>
      <c r="L126" s="319"/>
      <c r="M126" s="665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73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7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235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637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236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637"/>
      <c r="N130" s="50"/>
      <c r="O130" s="219"/>
      <c r="Q130" s="192"/>
      <c r="R130" s="192"/>
    </row>
    <row r="131" spans="1:34" ht="25.5" customHeight="1">
      <c r="B131" s="30" t="s">
        <v>237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647"/>
      <c r="N131" s="304"/>
      <c r="O131" s="219"/>
      <c r="Q131" s="192"/>
      <c r="R131" s="192"/>
    </row>
    <row r="132" spans="1:34" ht="25.5" customHeight="1">
      <c r="B132" s="30" t="s">
        <v>238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647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7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7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7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7"/>
      <c r="N136" s="201"/>
      <c r="O136" s="219"/>
      <c r="P136" s="192"/>
      <c r="Q136" s="192"/>
    </row>
    <row r="137" spans="1:34" s="187" customFormat="1" ht="25.5" customHeight="1">
      <c r="B137" s="698" t="s">
        <v>239</v>
      </c>
      <c r="C137" s="698"/>
      <c r="D137" s="698"/>
      <c r="E137" s="698"/>
      <c r="F137" s="698"/>
      <c r="G137" s="698"/>
      <c r="H137" s="188"/>
      <c r="J137" s="189"/>
      <c r="K137" s="189"/>
      <c r="M137" s="647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647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647"/>
      <c r="N139" s="201"/>
      <c r="O139" s="219"/>
    </row>
    <row r="140" spans="1:34" s="187" customFormat="1" ht="25.5" customHeight="1">
      <c r="B140" s="704" t="s">
        <v>231</v>
      </c>
      <c r="C140" s="704"/>
      <c r="D140" s="704"/>
      <c r="E140" s="704"/>
      <c r="F140" s="704"/>
      <c r="H140" s="188"/>
      <c r="J140" s="189"/>
      <c r="K140" s="189"/>
      <c r="M140" s="647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647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5"/>
      <c r="I142" s="194"/>
      <c r="J142" s="196"/>
      <c r="K142" s="197"/>
      <c r="L142" s="194"/>
      <c r="M142" s="647"/>
      <c r="N142" s="201"/>
      <c r="O142" s="219"/>
    </row>
    <row r="143" spans="1:34" s="201" customFormat="1" ht="25.5" customHeight="1">
      <c r="B143" s="23" t="s">
        <v>240</v>
      </c>
      <c r="C143" s="140"/>
      <c r="D143" s="140"/>
      <c r="E143" s="140"/>
      <c r="F143" s="581"/>
      <c r="G143" s="194"/>
      <c r="H143" s="194"/>
      <c r="I143" s="194"/>
      <c r="J143" s="196"/>
      <c r="K143" s="197"/>
      <c r="L143" s="194"/>
      <c r="M143" s="647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4" t="s">
        <v>211</v>
      </c>
      <c r="C144" s="25" t="s">
        <v>241</v>
      </c>
      <c r="D144" s="25"/>
      <c r="E144" s="26" t="s">
        <v>224</v>
      </c>
      <c r="F144" s="284"/>
      <c r="G144" s="284"/>
      <c r="H144" s="284"/>
      <c r="I144" s="284"/>
      <c r="J144" s="284"/>
      <c r="K144" s="337" t="s">
        <v>242</v>
      </c>
      <c r="L144" s="337"/>
      <c r="M144" s="644" t="s">
        <v>214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243</v>
      </c>
      <c r="F145" s="340"/>
      <c r="G145" s="340"/>
      <c r="H145" s="340"/>
      <c r="I145" s="340"/>
      <c r="J145" s="340"/>
      <c r="K145" s="342" t="s">
        <v>108</v>
      </c>
      <c r="L145" s="342"/>
      <c r="M145" s="676">
        <f>NET_publicv4_SEK</f>
        <v>20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243</v>
      </c>
      <c r="F146" s="343"/>
      <c r="G146" s="343"/>
      <c r="H146" s="343"/>
      <c r="I146" s="343"/>
      <c r="J146" s="343"/>
      <c r="K146" s="345" t="s">
        <v>95</v>
      </c>
      <c r="L146" s="345"/>
      <c r="M146" s="658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244</v>
      </c>
      <c r="D147" s="136"/>
      <c r="E147" s="155"/>
      <c r="F147" s="346"/>
      <c r="G147" s="346"/>
      <c r="H147" s="346"/>
      <c r="I147" s="346"/>
      <c r="J147" s="346"/>
      <c r="K147" s="342" t="s">
        <v>69</v>
      </c>
      <c r="L147" s="342"/>
      <c r="M147" s="676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244</v>
      </c>
      <c r="D148" s="137"/>
      <c r="E148" s="43" t="s">
        <v>245</v>
      </c>
      <c r="F148" s="343"/>
      <c r="G148" s="343"/>
      <c r="H148" s="343"/>
      <c r="I148" s="343"/>
      <c r="J148" s="343"/>
      <c r="K148" s="348" t="s">
        <v>69</v>
      </c>
      <c r="L148" s="348"/>
      <c r="M148" s="658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 t="s">
        <v>420</v>
      </c>
      <c r="F149" s="346"/>
      <c r="G149" s="346"/>
      <c r="H149" s="346"/>
      <c r="I149" s="346"/>
      <c r="J149" s="346"/>
      <c r="K149" s="342" t="s">
        <v>246</v>
      </c>
      <c r="L149" s="688" t="str">
        <f>NET_mgn.slb_SEK</f>
        <v>500 kr - 1 000 kr</v>
      </c>
      <c r="M149" s="688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5" t="s">
        <v>95</v>
      </c>
      <c r="L150" s="345"/>
      <c r="M150" s="658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51" t="s">
        <v>95</v>
      </c>
      <c r="L151" s="351"/>
      <c r="M151" s="676" t="str">
        <f>NET_saferoute_SEK</f>
        <v>Begär offert</v>
      </c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137" t="s">
        <v>123</v>
      </c>
      <c r="D152" s="137"/>
      <c r="E152" s="43"/>
      <c r="F152" s="343"/>
      <c r="G152" s="343"/>
      <c r="H152" s="343"/>
      <c r="I152" s="343"/>
      <c r="J152" s="343"/>
      <c r="K152" s="345" t="s">
        <v>95</v>
      </c>
      <c r="L152" s="345"/>
      <c r="M152" s="658">
        <f>NET_byoip_SEK</f>
        <v>0</v>
      </c>
      <c r="O152" s="219"/>
      <c r="P152" s="203"/>
      <c r="Q152" s="168"/>
      <c r="R152" s="304"/>
      <c r="S152" s="201"/>
    </row>
    <row r="153" spans="2:22" ht="40.5" customHeight="1">
      <c r="B153" s="148"/>
      <c r="C153" s="148"/>
      <c r="D153" s="149"/>
      <c r="E153" s="149"/>
      <c r="F153" s="353"/>
      <c r="G153" s="353"/>
      <c r="H153" s="353"/>
      <c r="I153" s="353"/>
      <c r="J153" s="353"/>
      <c r="K153" s="352"/>
      <c r="L153" s="352"/>
      <c r="M153" s="655"/>
      <c r="O153" s="219"/>
      <c r="P153" s="203"/>
      <c r="Q153" s="168"/>
      <c r="R153" s="304"/>
      <c r="S153" s="201"/>
    </row>
    <row r="154" spans="2:22" ht="25.5" customHeight="1">
      <c r="B154" s="449" t="s">
        <v>247</v>
      </c>
      <c r="C154" s="15"/>
      <c r="D154" s="15"/>
      <c r="E154" s="15"/>
      <c r="F154" s="212"/>
      <c r="G154" s="212"/>
      <c r="H154" s="212"/>
      <c r="I154" s="212"/>
      <c r="J154" s="212"/>
      <c r="K154" s="354"/>
      <c r="L154" s="354"/>
      <c r="M154" s="632"/>
      <c r="N154" s="168"/>
      <c r="O154" s="219"/>
      <c r="P154" s="168"/>
      <c r="Q154" s="349"/>
      <c r="R154" s="304"/>
      <c r="S154" s="201"/>
    </row>
    <row r="155" spans="2:22" ht="25.5" customHeight="1">
      <c r="B155" s="520" t="s">
        <v>211</v>
      </c>
      <c r="C155" s="25"/>
      <c r="D155" s="110"/>
      <c r="E155" s="110" t="s">
        <v>224</v>
      </c>
      <c r="F155" s="356"/>
      <c r="G155" s="356"/>
      <c r="H155" s="356"/>
      <c r="I155" s="356"/>
      <c r="J155" s="356"/>
      <c r="K155" s="355" t="s">
        <v>242</v>
      </c>
      <c r="L155" s="355"/>
      <c r="M155" s="677" t="s">
        <v>214</v>
      </c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0"/>
      <c r="H156" s="340"/>
      <c r="I156" s="340"/>
      <c r="J156" s="340"/>
      <c r="K156" s="342" t="s">
        <v>10</v>
      </c>
      <c r="L156" s="342"/>
      <c r="M156" s="619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3"/>
      <c r="H157" s="343"/>
      <c r="I157" s="343"/>
      <c r="J157" s="343"/>
      <c r="K157" s="348" t="s">
        <v>10</v>
      </c>
      <c r="L157" s="348"/>
      <c r="M157" s="618">
        <f>SW_win.ser.201X_SEK</f>
        <v>78</v>
      </c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426</v>
      </c>
      <c r="F158" s="340"/>
      <c r="G158" s="340"/>
      <c r="H158" s="340"/>
      <c r="I158" s="340"/>
      <c r="J158" s="340"/>
      <c r="K158" s="342" t="s">
        <v>10</v>
      </c>
      <c r="L158" s="342"/>
      <c r="M158" s="619">
        <f>SW_ms.sql.ser_SEK</f>
        <v>1498</v>
      </c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3"/>
      <c r="H159" s="343"/>
      <c r="I159" s="343"/>
      <c r="J159" s="343"/>
      <c r="K159" s="348" t="s">
        <v>248</v>
      </c>
      <c r="L159" s="348"/>
      <c r="M159" s="618" t="str">
        <f>SW_stackn_SEK</f>
        <v>Begär offert</v>
      </c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0"/>
      <c r="H160" s="340"/>
      <c r="I160" s="340"/>
      <c r="J160" s="340"/>
      <c r="K160" s="351" t="s">
        <v>95</v>
      </c>
      <c r="L160" s="351"/>
      <c r="M160" s="619" t="str">
        <f>SW_nextcloud_SEK</f>
        <v>Begär offert</v>
      </c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3"/>
      <c r="H161" s="343"/>
      <c r="I161" s="343"/>
      <c r="J161" s="343"/>
      <c r="K161" s="345" t="s">
        <v>95</v>
      </c>
      <c r="L161" s="345"/>
      <c r="M161" s="618" t="str">
        <f>SW_suse_SEK</f>
        <v>Begär offert</v>
      </c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0"/>
      <c r="H162" s="340"/>
      <c r="I162" s="340"/>
      <c r="J162" s="340"/>
      <c r="K162" s="351" t="s">
        <v>95</v>
      </c>
      <c r="L162" s="351"/>
      <c r="M162" s="619" t="str">
        <f>SW_cluster.control_SEK</f>
        <v>3x instanspris</v>
      </c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3"/>
      <c r="H163" s="343"/>
      <c r="I163" s="343"/>
      <c r="J163" s="343"/>
      <c r="K163" s="348" t="s">
        <v>141</v>
      </c>
      <c r="L163" s="348"/>
      <c r="M163" s="618">
        <f>SW_backup.ninja_SEK</f>
        <v>400</v>
      </c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8"/>
      <c r="F164" s="358"/>
      <c r="G164" s="358"/>
      <c r="H164" s="358"/>
      <c r="I164" s="358"/>
      <c r="J164" s="358"/>
      <c r="K164" s="359"/>
      <c r="L164" s="359"/>
      <c r="M164" s="656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202"/>
      <c r="L165" s="202"/>
      <c r="M165" s="632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249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632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211</v>
      </c>
      <c r="C167" s="25"/>
      <c r="D167" s="25"/>
      <c r="E167" s="25" t="s">
        <v>224</v>
      </c>
      <c r="F167" s="284"/>
      <c r="G167" s="284"/>
      <c r="H167" s="284"/>
      <c r="I167" s="284"/>
      <c r="J167" s="284"/>
      <c r="K167" s="610"/>
      <c r="L167" s="588"/>
      <c r="M167" s="644" t="s">
        <v>214</v>
      </c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0"/>
      <c r="H168" s="340"/>
      <c r="I168" s="340"/>
      <c r="J168" s="340"/>
      <c r="K168" s="341"/>
      <c r="L168" s="341"/>
      <c r="M168" s="617">
        <f>PAAS_man.kubernetes_SEK</f>
        <v>24000</v>
      </c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3"/>
      <c r="H169" s="343"/>
      <c r="I169" s="343"/>
      <c r="J169" s="343"/>
      <c r="K169" s="344"/>
      <c r="L169" s="344"/>
      <c r="M169" s="618">
        <f>PAAS_man.postgres.sql_SEK</f>
        <v>15000</v>
      </c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425</v>
      </c>
      <c r="F170" s="340"/>
      <c r="G170" s="340"/>
      <c r="H170" s="340"/>
      <c r="I170" s="340"/>
      <c r="J170" s="340"/>
      <c r="K170" s="341"/>
      <c r="L170" s="341"/>
      <c r="M170" s="619" t="str">
        <f>PAAS_man.elasticsearch_SEK</f>
        <v>Begär offert</v>
      </c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3"/>
      <c r="H171" s="343"/>
      <c r="I171" s="343"/>
      <c r="J171" s="343"/>
      <c r="K171" s="344"/>
      <c r="L171" s="344"/>
      <c r="M171" s="618" t="str">
        <f>PAAS_man.redis_SEK</f>
        <v>Begär offert</v>
      </c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0"/>
      <c r="H172" s="340"/>
      <c r="I172" s="340"/>
      <c r="J172" s="340"/>
      <c r="K172" s="341"/>
      <c r="L172" s="341"/>
      <c r="M172" s="619" t="str">
        <f>PAAS_man.nats_SEK</f>
        <v>Begär offert</v>
      </c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3"/>
      <c r="H173" s="343"/>
      <c r="I173" s="343"/>
      <c r="J173" s="343"/>
      <c r="K173" s="344"/>
      <c r="L173" s="344"/>
      <c r="M173" s="620" t="str">
        <f>PAAS_man.mariadb_SEK</f>
        <v>Begär offert</v>
      </c>
      <c r="N173" s="168"/>
      <c r="O173" s="219"/>
      <c r="P173" s="168"/>
      <c r="Q173" s="349"/>
      <c r="R173" s="304"/>
      <c r="S173" s="201"/>
    </row>
    <row r="174" spans="2:19" ht="25.5" customHeight="1">
      <c r="B174" s="106"/>
      <c r="C174" s="106"/>
      <c r="D174" s="430"/>
      <c r="E174" s="108"/>
      <c r="F174" s="358"/>
      <c r="G174" s="358"/>
      <c r="H174" s="358"/>
      <c r="I174" s="358"/>
      <c r="J174" s="358"/>
      <c r="K174" s="359"/>
      <c r="L174" s="359"/>
      <c r="M174" s="656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K175" s="168"/>
      <c r="M175" s="647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04"/>
      <c r="L176" s="304"/>
      <c r="M176" s="647"/>
      <c r="N176" s="201"/>
      <c r="O176" s="219"/>
      <c r="P176" s="192"/>
      <c r="Q176" s="192"/>
    </row>
    <row r="177" spans="2:22" s="187" customFormat="1" ht="25.5" customHeight="1">
      <c r="B177" s="698" t="s">
        <v>251</v>
      </c>
      <c r="C177" s="698"/>
      <c r="D177" s="698"/>
      <c r="E177" s="698"/>
      <c r="F177" s="698"/>
      <c r="G177" s="698"/>
      <c r="H177" s="363"/>
      <c r="J177" s="189"/>
      <c r="M177" s="647"/>
      <c r="N177" s="201"/>
      <c r="O177" s="219"/>
    </row>
    <row r="178" spans="2:22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M178" s="647"/>
      <c r="N178" s="201"/>
      <c r="O178" s="219"/>
    </row>
    <row r="179" spans="2:22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M179" s="647"/>
      <c r="N179" s="201"/>
      <c r="O179" s="219"/>
    </row>
    <row r="180" spans="2:22" s="187" customFormat="1" ht="25.5" customHeight="1">
      <c r="B180" s="704" t="s">
        <v>231</v>
      </c>
      <c r="C180" s="704"/>
      <c r="D180" s="704"/>
      <c r="E180" s="704"/>
      <c r="F180" s="704"/>
      <c r="H180" s="363"/>
      <c r="J180" s="189"/>
      <c r="M180" s="647"/>
      <c r="N180" s="201"/>
      <c r="O180" s="219"/>
    </row>
    <row r="181" spans="2:22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4"/>
      <c r="L181" s="194"/>
      <c r="M181" s="647"/>
      <c r="N181" s="201"/>
      <c r="O181" s="219"/>
    </row>
    <row r="182" spans="2:22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4"/>
      <c r="L182" s="194"/>
      <c r="M182" s="647"/>
      <c r="N182" s="201"/>
      <c r="O182" s="219"/>
    </row>
    <row r="183" spans="2:22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632"/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514" t="s">
        <v>211</v>
      </c>
      <c r="C184" s="25"/>
      <c r="D184" s="25" t="s">
        <v>224</v>
      </c>
      <c r="E184" s="139"/>
      <c r="F184" s="284"/>
      <c r="G184" s="588"/>
      <c r="H184" s="588"/>
      <c r="I184" s="588"/>
      <c r="J184" s="588"/>
      <c r="K184" s="337" t="s">
        <v>242</v>
      </c>
      <c r="L184" s="337"/>
      <c r="M184" s="644" t="s">
        <v>93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1" t="s">
        <v>156</v>
      </c>
      <c r="C185" s="136"/>
      <c r="D185" s="32" t="s">
        <v>157</v>
      </c>
      <c r="E185" s="42"/>
      <c r="F185" s="340"/>
      <c r="G185" s="341"/>
      <c r="H185" s="341"/>
      <c r="I185" s="341"/>
      <c r="J185" s="341"/>
      <c r="K185" s="351" t="s">
        <v>95</v>
      </c>
      <c r="L185" s="351"/>
      <c r="M185" s="678">
        <v>0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4" t="s">
        <v>158</v>
      </c>
      <c r="C186" s="137"/>
      <c r="D186" s="40" t="s">
        <v>159</v>
      </c>
      <c r="E186" s="33"/>
      <c r="F186" s="343"/>
      <c r="G186" s="344"/>
      <c r="H186" s="344"/>
      <c r="I186" s="344"/>
      <c r="J186" s="344"/>
      <c r="K186" s="348" t="s">
        <v>252</v>
      </c>
      <c r="L186" s="348"/>
      <c r="M186" s="657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41" t="s">
        <v>162</v>
      </c>
      <c r="C187" s="136"/>
      <c r="D187" s="32" t="s">
        <v>163</v>
      </c>
      <c r="E187" s="42"/>
      <c r="F187" s="340"/>
      <c r="G187" s="341"/>
      <c r="H187" s="341"/>
      <c r="I187" s="341"/>
      <c r="J187" s="341"/>
      <c r="K187" s="342" t="s">
        <v>254</v>
      </c>
      <c r="L187" s="342"/>
      <c r="M187" s="678" t="s">
        <v>255</v>
      </c>
      <c r="N187" s="301"/>
      <c r="O187" s="219"/>
      <c r="Q187" s="304"/>
      <c r="R187" s="304"/>
      <c r="S187" s="201"/>
      <c r="U187" s="192"/>
      <c r="V187" s="192"/>
    </row>
    <row r="188" spans="2:22" ht="25.5" customHeight="1">
      <c r="B188" s="109"/>
      <c r="C188" s="106"/>
      <c r="D188" s="430" t="s">
        <v>256</v>
      </c>
      <c r="E188" s="108"/>
      <c r="F188" s="358"/>
      <c r="G188" s="359"/>
      <c r="H188" s="359"/>
      <c r="I188" s="359"/>
      <c r="J188" s="359"/>
      <c r="K188" s="360"/>
      <c r="L188" s="360"/>
      <c r="M188" s="656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144"/>
      <c r="C189" s="137"/>
      <c r="D189" s="40"/>
      <c r="E189" s="33"/>
      <c r="F189" s="343"/>
      <c r="G189" s="344"/>
      <c r="H189" s="344"/>
      <c r="I189" s="344"/>
      <c r="J189" s="344"/>
      <c r="K189" s="348"/>
      <c r="L189" s="348"/>
      <c r="M189" s="658"/>
      <c r="N189" s="301"/>
      <c r="O189" s="219"/>
      <c r="P189" s="304"/>
      <c r="Q189" s="304"/>
      <c r="R189" s="304"/>
      <c r="S189" s="201"/>
      <c r="U189" s="192"/>
      <c r="V189" s="192"/>
    </row>
    <row r="190" spans="2:22" ht="25.5" customHeight="1">
      <c r="B190" s="449" t="s">
        <v>257</v>
      </c>
      <c r="C190" s="15"/>
      <c r="D190" s="15"/>
      <c r="F190" s="212"/>
      <c r="G190" s="212"/>
      <c r="H190" s="212"/>
      <c r="I190" s="212"/>
      <c r="J190" s="212"/>
      <c r="K190" s="354"/>
      <c r="L190" s="354"/>
      <c r="M190" s="632"/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514" t="s">
        <v>211</v>
      </c>
      <c r="C191" s="25"/>
      <c r="D191" s="25" t="s">
        <v>224</v>
      </c>
      <c r="E191" s="139"/>
      <c r="F191" s="284"/>
      <c r="G191" s="588"/>
      <c r="H191" s="588"/>
      <c r="I191" s="588"/>
      <c r="J191" s="588"/>
      <c r="K191" s="337" t="s">
        <v>242</v>
      </c>
      <c r="L191" s="337"/>
      <c r="M191" s="644" t="s">
        <v>93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1" t="s">
        <v>168</v>
      </c>
      <c r="C192" s="136"/>
      <c r="D192" s="32" t="s">
        <v>169</v>
      </c>
      <c r="E192" s="42"/>
      <c r="F192" s="340"/>
      <c r="G192" s="341"/>
      <c r="H192" s="341"/>
      <c r="I192" s="341"/>
      <c r="J192" s="341"/>
      <c r="K192" s="342" t="s">
        <v>254</v>
      </c>
      <c r="L192" s="342"/>
      <c r="M192" s="679">
        <f>PS_consult.jun_SEK</f>
        <v>1127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4" t="s">
        <v>170</v>
      </c>
      <c r="C193" s="137"/>
      <c r="D193" s="40" t="s">
        <v>171</v>
      </c>
      <c r="E193" s="33"/>
      <c r="F193" s="343"/>
      <c r="G193" s="344"/>
      <c r="H193" s="344"/>
      <c r="I193" s="344"/>
      <c r="J193" s="344"/>
      <c r="K193" s="348" t="s">
        <v>254</v>
      </c>
      <c r="L193" s="348"/>
      <c r="M193" s="680">
        <f>PS_consult.sen_SEK</f>
        <v>1374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1" t="s">
        <v>172</v>
      </c>
      <c r="C194" s="136"/>
      <c r="D194" s="32" t="s">
        <v>173</v>
      </c>
      <c r="E194" s="42"/>
      <c r="F194" s="340"/>
      <c r="G194" s="341"/>
      <c r="H194" s="341"/>
      <c r="I194" s="341"/>
      <c r="J194" s="341"/>
      <c r="K194" s="342" t="s">
        <v>254</v>
      </c>
      <c r="L194" s="342"/>
      <c r="M194" s="679">
        <f>PS_cloudarch.jun_SEK</f>
        <v>1277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4" t="s">
        <v>174</v>
      </c>
      <c r="C195" s="137"/>
      <c r="D195" s="40" t="s">
        <v>175</v>
      </c>
      <c r="E195" s="40"/>
      <c r="F195" s="357"/>
      <c r="G195" s="344"/>
      <c r="H195" s="344"/>
      <c r="I195" s="344"/>
      <c r="J195" s="344"/>
      <c r="K195" s="348" t="s">
        <v>254</v>
      </c>
      <c r="L195" s="348"/>
      <c r="M195" s="680">
        <f>PS_cloudarch.sen_SEK</f>
        <v>1374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1" t="s">
        <v>176</v>
      </c>
      <c r="C196" s="136"/>
      <c r="D196" s="32" t="s">
        <v>177</v>
      </c>
      <c r="E196" s="42"/>
      <c r="F196" s="340"/>
      <c r="G196" s="341"/>
      <c r="H196" s="341"/>
      <c r="I196" s="341"/>
      <c r="J196" s="341"/>
      <c r="K196" s="342" t="s">
        <v>254</v>
      </c>
      <c r="L196" s="342"/>
      <c r="M196" s="679">
        <f>PS_pm.jun_SEK</f>
        <v>1139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44" t="s">
        <v>178</v>
      </c>
      <c r="C197" s="137"/>
      <c r="D197" s="40" t="s">
        <v>179</v>
      </c>
      <c r="E197" s="33"/>
      <c r="F197" s="343"/>
      <c r="G197" s="344"/>
      <c r="H197" s="344"/>
      <c r="I197" s="344"/>
      <c r="J197" s="344"/>
      <c r="K197" s="348" t="s">
        <v>254</v>
      </c>
      <c r="L197" s="348"/>
      <c r="M197" s="680">
        <f>PS_pm.sen_SEK</f>
        <v>1374</v>
      </c>
      <c r="N197" s="301"/>
      <c r="O197" s="219"/>
      <c r="Q197" s="304"/>
      <c r="R197" s="304"/>
      <c r="S197" s="201"/>
      <c r="U197" s="192"/>
      <c r="V197" s="192"/>
    </row>
    <row r="198" spans="1:22" ht="25.5" customHeight="1">
      <c r="B198" s="109"/>
      <c r="C198" s="106"/>
      <c r="D198" s="430"/>
      <c r="E198" s="108"/>
      <c r="F198" s="358"/>
      <c r="G198" s="359"/>
      <c r="H198" s="359"/>
      <c r="I198" s="359"/>
      <c r="J198" s="359"/>
      <c r="K198" s="360"/>
      <c r="L198" s="360"/>
      <c r="M198" s="656"/>
      <c r="N198" s="301"/>
      <c r="O198" s="219"/>
      <c r="P198" s="304"/>
      <c r="Q198" s="304"/>
      <c r="R198" s="304"/>
      <c r="S198" s="201"/>
      <c r="U198" s="192"/>
      <c r="V198" s="192"/>
    </row>
    <row r="199" spans="1:22" ht="25.5" customHeight="1">
      <c r="B199" s="137"/>
      <c r="C199" s="137"/>
      <c r="D199" s="40"/>
      <c r="E199" s="33"/>
      <c r="F199" s="343"/>
      <c r="G199" s="344"/>
      <c r="H199" s="344"/>
      <c r="I199" s="344"/>
      <c r="J199" s="344"/>
      <c r="K199" s="348"/>
      <c r="L199" s="348"/>
      <c r="M199" s="658"/>
      <c r="N199" s="168"/>
      <c r="O199" s="219"/>
      <c r="P199" s="168"/>
      <c r="Q199" s="349"/>
      <c r="R199" s="304"/>
      <c r="S199" s="201"/>
    </row>
    <row r="200" spans="1:22" ht="25.5" customHeight="1">
      <c r="B200" s="449" t="s">
        <v>258</v>
      </c>
      <c r="C200" s="15"/>
      <c r="D200" s="15"/>
      <c r="F200" s="212"/>
      <c r="G200" s="212"/>
      <c r="H200" s="212"/>
      <c r="I200" s="212"/>
      <c r="J200" s="212"/>
      <c r="K200" s="354"/>
      <c r="L200" s="354"/>
      <c r="M200" s="632"/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514" t="s">
        <v>211</v>
      </c>
      <c r="C201" s="25"/>
      <c r="D201" s="25" t="s">
        <v>224</v>
      </c>
      <c r="E201" s="139"/>
      <c r="F201" s="284"/>
      <c r="G201" s="337" t="s">
        <v>259</v>
      </c>
      <c r="H201" s="337"/>
      <c r="I201" s="337"/>
      <c r="J201" s="337"/>
      <c r="K201" s="337" t="s">
        <v>242</v>
      </c>
      <c r="L201" s="337"/>
      <c r="M201" s="644" t="s">
        <v>93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1" t="s">
        <v>183</v>
      </c>
      <c r="C202" s="136"/>
      <c r="D202" s="32" t="s">
        <v>260</v>
      </c>
      <c r="E202" s="42"/>
      <c r="F202" s="340"/>
      <c r="G202" s="342" t="s">
        <v>261</v>
      </c>
      <c r="H202" s="342"/>
      <c r="I202" s="342"/>
      <c r="J202" s="342"/>
      <c r="K202" s="342" t="s">
        <v>262</v>
      </c>
      <c r="L202" s="342"/>
      <c r="M202" s="678" t="s">
        <v>255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4" t="s">
        <v>187</v>
      </c>
      <c r="C203" s="137"/>
      <c r="D203" s="40" t="s">
        <v>263</v>
      </c>
      <c r="E203" s="33"/>
      <c r="F203" s="343"/>
      <c r="G203" s="348" t="s">
        <v>261</v>
      </c>
      <c r="H203" s="348"/>
      <c r="I203" s="348"/>
      <c r="J203" s="348"/>
      <c r="K203" s="348" t="s">
        <v>262</v>
      </c>
      <c r="L203" s="348"/>
      <c r="M203" s="657" t="s">
        <v>255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1" t="s">
        <v>189</v>
      </c>
      <c r="C204" s="136"/>
      <c r="D204" s="32" t="s">
        <v>264</v>
      </c>
      <c r="E204" s="42"/>
      <c r="F204" s="340"/>
      <c r="G204" s="342" t="s">
        <v>265</v>
      </c>
      <c r="H204" s="342"/>
      <c r="I204" s="342"/>
      <c r="J204" s="342"/>
      <c r="K204" s="342" t="s">
        <v>262</v>
      </c>
      <c r="L204" s="342"/>
      <c r="M204" s="678" t="s">
        <v>255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44" t="s">
        <v>192</v>
      </c>
      <c r="C205" s="137"/>
      <c r="D205" s="40" t="s">
        <v>266</v>
      </c>
      <c r="E205" s="33"/>
      <c r="F205" s="343"/>
      <c r="G205" s="348" t="s">
        <v>265</v>
      </c>
      <c r="H205" s="348"/>
      <c r="I205" s="348"/>
      <c r="J205" s="348"/>
      <c r="K205" s="348" t="s">
        <v>262</v>
      </c>
      <c r="L205" s="348"/>
      <c r="M205" s="657" t="s">
        <v>255</v>
      </c>
      <c r="N205" s="301"/>
      <c r="O205" s="219"/>
      <c r="Q205" s="304"/>
      <c r="R205" s="304"/>
      <c r="S205" s="201"/>
      <c r="U205" s="192"/>
      <c r="V205" s="192"/>
    </row>
    <row r="206" spans="1:22" ht="25.5" customHeight="1">
      <c r="B206" s="106"/>
      <c r="C206" s="106"/>
      <c r="D206" s="430"/>
      <c r="E206" s="108"/>
      <c r="F206" s="358"/>
      <c r="G206" s="359"/>
      <c r="H206" s="359"/>
      <c r="I206" s="359"/>
      <c r="J206" s="359"/>
      <c r="K206" s="359"/>
      <c r="L206" s="359"/>
      <c r="M206" s="656"/>
      <c r="N206" s="301"/>
      <c r="O206" s="219"/>
      <c r="P206" s="304"/>
      <c r="Q206" s="304"/>
      <c r="R206" s="304"/>
      <c r="S206" s="201"/>
      <c r="U206" s="192"/>
      <c r="V206" s="192"/>
    </row>
    <row r="207" spans="1:22" ht="25.5" customHeight="1">
      <c r="B207" s="3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647"/>
      <c r="N207" s="201"/>
      <c r="O207" s="219"/>
      <c r="P207" s="192"/>
      <c r="Q207" s="192"/>
    </row>
    <row r="208" spans="1:22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7"/>
      <c r="K208" s="368"/>
      <c r="L208" s="369"/>
      <c r="M208" s="65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3"/>
      <c r="K209" s="374"/>
      <c r="L209" s="375"/>
      <c r="M209" s="660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3"/>
      <c r="K210" s="374"/>
      <c r="L210" s="375"/>
      <c r="M210" s="660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3"/>
      <c r="K211" s="374"/>
      <c r="L211" s="375"/>
      <c r="M211" s="660"/>
      <c r="N211" s="169"/>
      <c r="O211" s="191"/>
    </row>
    <row r="212" spans="1:22" s="187" customFormat="1" ht="25.5" customHeight="1">
      <c r="A212" s="169"/>
      <c r="B212" s="705" t="s">
        <v>267</v>
      </c>
      <c r="C212" s="705"/>
      <c r="D212" s="705"/>
      <c r="E212" s="705"/>
      <c r="F212" s="705"/>
      <c r="G212" s="705"/>
      <c r="H212" s="172"/>
      <c r="I212" s="169"/>
      <c r="J212" s="173"/>
      <c r="K212" s="173"/>
      <c r="L212" s="169"/>
      <c r="M212" s="627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73"/>
      <c r="L213" s="169"/>
      <c r="M213" s="627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73"/>
      <c r="L214" s="169"/>
      <c r="M214" s="627"/>
      <c r="N214" s="169"/>
      <c r="O214" s="191"/>
    </row>
    <row r="215" spans="1:22" s="187" customFormat="1" ht="25.5" customHeight="1">
      <c r="A215" s="169"/>
      <c r="B215" s="706" t="s">
        <v>231</v>
      </c>
      <c r="C215" s="706"/>
      <c r="D215" s="706"/>
      <c r="E215" s="706"/>
      <c r="F215" s="706"/>
      <c r="G215" s="169"/>
      <c r="H215" s="172"/>
      <c r="I215" s="169"/>
      <c r="J215" s="173"/>
      <c r="K215" s="173"/>
      <c r="L215" s="169"/>
      <c r="M215" s="627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627"/>
      <c r="N216" s="376"/>
      <c r="O216" s="199"/>
    </row>
    <row r="217" spans="1:22" s="187" customFormat="1" ht="25.5" customHeight="1">
      <c r="A217" s="169"/>
      <c r="B217" s="70" t="s">
        <v>268</v>
      </c>
      <c r="C217" s="64"/>
      <c r="D217" s="64"/>
      <c r="E217" s="64"/>
      <c r="F217" s="170"/>
      <c r="G217" s="169"/>
      <c r="H217" s="172"/>
      <c r="I217" s="169"/>
      <c r="J217" s="173"/>
      <c r="K217" s="173"/>
      <c r="L217" s="169"/>
      <c r="M217" s="627"/>
      <c r="N217" s="376"/>
      <c r="O217" s="199"/>
    </row>
    <row r="218" spans="1:22" s="187" customFormat="1" ht="25.5" customHeight="1">
      <c r="A218" s="169"/>
      <c r="B218" s="451" t="s">
        <v>205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627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66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66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269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267</v>
      </c>
      <c r="M221" s="662"/>
      <c r="N221" s="388"/>
      <c r="O221" s="205"/>
      <c r="P221" s="336"/>
    </row>
    <row r="222" spans="1:22" ht="25.5" customHeight="1">
      <c r="A222" s="384"/>
      <c r="B222" s="607" t="s">
        <v>199</v>
      </c>
      <c r="C222" s="609" t="str" cm="1">
        <f t="array" ref="C222">SUM(C25:C37*I25:I37)+SUM(C43:C66*I43:I66)&amp;" vCPU"</f>
        <v>0 vCPU</v>
      </c>
      <c r="D222" s="609" t="str" cm="1">
        <f t="array" ref="D222">SUM(D25:D37*I25:I37)+SUM(D43:D66*I43:I66)&amp;" GB RAM"</f>
        <v>0 GB RAM</v>
      </c>
      <c r="E222" s="609" t="str" cm="1">
        <f t="array" ref="E222">SUM(E25:E37*I25:I37)+SUM(E43:E66*I43:I66)&amp;" GB  Disk"</f>
        <v>0 GB  Disk</v>
      </c>
      <c r="F222" s="707" t="str" cm="1">
        <f t="array" ref="F222">SUM(E43:E66*I43:I66)&amp;" GB NVME-Disk"</f>
        <v>0 GB NVME-Disk</v>
      </c>
      <c r="G222" s="707"/>
      <c r="H222" s="390"/>
      <c r="I222" s="390"/>
      <c r="J222" s="391"/>
      <c r="K222" s="391"/>
      <c r="L222" s="392">
        <f>L76+L84+L67+L38+M91</f>
        <v>0</v>
      </c>
      <c r="M222" s="663"/>
      <c r="N222" s="384"/>
      <c r="O222" s="205"/>
      <c r="P222" s="336"/>
    </row>
    <row r="223" spans="1:22" ht="25.5" customHeight="1">
      <c r="A223" s="384"/>
      <c r="B223" s="608" t="s">
        <v>200</v>
      </c>
      <c r="C223" s="608"/>
      <c r="D223" s="74"/>
      <c r="E223" s="75"/>
      <c r="F223" s="393"/>
      <c r="G223" s="394"/>
      <c r="H223" s="394"/>
      <c r="I223" s="394"/>
      <c r="J223" s="395"/>
      <c r="K223" s="395"/>
      <c r="L223" s="396">
        <f>M112</f>
        <v>0</v>
      </c>
      <c r="M223" s="66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396">
        <f>M127</f>
        <v>0</v>
      </c>
      <c r="M224" s="663"/>
      <c r="N224" s="384"/>
      <c r="O224" s="205"/>
      <c r="P224" s="336"/>
    </row>
    <row r="225" spans="1:23" s="399" customFormat="1" ht="25.5" customHeight="1">
      <c r="A225" s="397"/>
      <c r="B225" s="703" t="s">
        <v>202</v>
      </c>
      <c r="C225" s="703"/>
      <c r="D225" s="35"/>
      <c r="E225" s="36"/>
      <c r="F225" s="333"/>
      <c r="G225" s="597"/>
      <c r="H225" s="597"/>
      <c r="I225" s="597"/>
      <c r="J225" s="319"/>
      <c r="K225" s="319"/>
      <c r="L225" s="321">
        <f>M76+M84+M67+M38</f>
        <v>0</v>
      </c>
      <c r="M225" s="663"/>
      <c r="N225" s="397"/>
      <c r="O225" s="398"/>
    </row>
    <row r="226" spans="1:23" ht="25.5" customHeight="1">
      <c r="A226" s="384"/>
      <c r="B226" s="60" t="s">
        <v>86</v>
      </c>
      <c r="C226" s="61"/>
      <c r="D226" s="61"/>
      <c r="E226" s="61"/>
      <c r="F226" s="400"/>
      <c r="G226" s="401"/>
      <c r="H226" s="401"/>
      <c r="I226" s="621"/>
      <c r="J226" s="621"/>
      <c r="K226" s="621"/>
      <c r="L226" s="621">
        <f>SUM(L222:L225)</f>
        <v>0</v>
      </c>
      <c r="M226" s="664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664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66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665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666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666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666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666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666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666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666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666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666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666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666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666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666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666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666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666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666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666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666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666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666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666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666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666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666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666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666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666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666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666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667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667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667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667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667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667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667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667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667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667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667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667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667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667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667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667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667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667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667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667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667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667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667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667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667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667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667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667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667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667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667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667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667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667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667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667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667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667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667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667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667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667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667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667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667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667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667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667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668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667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667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66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66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66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66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66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66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66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66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66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66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66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66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66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66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66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66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66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66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66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66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66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66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66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66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66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66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66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66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66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66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66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66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66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66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66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66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66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66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66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66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66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66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66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66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66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66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66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66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66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66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66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66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66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66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66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66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66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66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66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66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66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66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66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66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66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66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66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66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66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66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66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66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66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66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66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66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66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66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66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66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66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66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66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66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66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66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66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66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66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66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66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66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66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66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66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66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66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66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66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66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66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66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66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66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66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66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66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66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66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66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66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66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66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66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66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66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66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66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66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66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66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66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66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66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66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66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66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66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66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66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66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66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66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66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66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66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66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66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66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66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66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66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66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66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66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66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66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66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66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66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66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66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66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66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66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66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66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66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66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66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66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66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66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66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66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66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66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66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66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66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66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66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66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66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66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66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66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66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66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66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66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66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66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66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66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66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66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66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66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66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66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66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66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66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66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66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66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66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66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66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66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66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66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66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66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66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66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66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66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66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66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66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66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66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66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66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66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66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66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66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66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66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66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66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66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66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66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66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66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66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66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66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66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66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66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66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66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66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66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66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66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66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66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66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66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66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66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66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66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66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66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66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66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66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66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66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66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66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66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66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66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66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66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66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66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66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66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66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66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66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66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66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66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66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66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66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66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66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66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66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66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66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66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66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66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66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66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66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66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66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66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66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66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66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66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66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66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66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66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66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66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66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669"/>
      <c r="O613" s="428"/>
    </row>
  </sheetData>
  <sheetProtection algorithmName="SHA-512" hashValue="G6Bw0nLGnsPI3c/oknWjFCvkuy+LJ1eeAuGlKWd95D0n6EMvf3+CxNWGoW/K/Yu1rGaMjG5oUa4O/bpeUhGeCQ==" saltValue="y4HYvdZw9KmBtFV4wdlPhg==" spinCount="100000" sheet="1" objects="1" scenarios="1" selectLockedCells="1"/>
  <mergeCells count="59">
    <mergeCell ref="J123:K123"/>
    <mergeCell ref="J106:K106"/>
    <mergeCell ref="H107:I107"/>
    <mergeCell ref="J107:K107"/>
    <mergeCell ref="H106:I106"/>
    <mergeCell ref="F106:G106"/>
    <mergeCell ref="F107:G107"/>
    <mergeCell ref="J102:K102"/>
    <mergeCell ref="H103:I103"/>
    <mergeCell ref="H102:I102"/>
    <mergeCell ref="J103:K103"/>
    <mergeCell ref="J104:K104"/>
    <mergeCell ref="H105:I105"/>
    <mergeCell ref="J105:K105"/>
    <mergeCell ref="H104:I104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5:C225"/>
    <mergeCell ref="B120:F120"/>
    <mergeCell ref="B212:G214"/>
    <mergeCell ref="B215:F215"/>
    <mergeCell ref="F123:G123"/>
    <mergeCell ref="B140:F140"/>
    <mergeCell ref="B137:G139"/>
    <mergeCell ref="B141:F141"/>
    <mergeCell ref="C123:D123"/>
    <mergeCell ref="B177:G179"/>
    <mergeCell ref="B180:F180"/>
    <mergeCell ref="B181:F181"/>
    <mergeCell ref="F222:G222"/>
    <mergeCell ref="L149:M149"/>
    <mergeCell ref="B95:G97"/>
    <mergeCell ref="B98:F98"/>
    <mergeCell ref="B99:F99"/>
    <mergeCell ref="B116:G118"/>
    <mergeCell ref="B119:F119"/>
    <mergeCell ref="F102:G102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J124:K124"/>
    <mergeCell ref="F124:G124"/>
    <mergeCell ref="F125:G125"/>
    <mergeCell ref="J126:K126"/>
    <mergeCell ref="F126:G126"/>
    <mergeCell ref="J125:K125"/>
  </mergeCells>
  <phoneticPr fontId="2" type="noConversion"/>
  <conditionalFormatting sqref="L25:M33 L68:M70 L41:M41 L36:M37">
    <cfRule type="cellIs" dxfId="173" priority="106" operator="greaterThan">
      <formula>0</formula>
    </cfRule>
  </conditionalFormatting>
  <conditionalFormatting sqref="H124 H111 J89:J90 I25:J33 I72:J75 I36:J37">
    <cfRule type="cellIs" dxfId="172" priority="105" operator="greaterThan">
      <formula>0</formula>
    </cfRule>
  </conditionalFormatting>
  <conditionalFormatting sqref="J90">
    <cfRule type="cellIs" dxfId="171" priority="104" operator="greaterThan">
      <formula>0</formula>
    </cfRule>
  </conditionalFormatting>
  <conditionalFormatting sqref="J89">
    <cfRule type="cellIs" dxfId="170" priority="103" operator="greaterThan">
      <formula>0</formula>
    </cfRule>
  </conditionalFormatting>
  <conditionalFormatting sqref="H111">
    <cfRule type="cellIs" dxfId="169" priority="100" operator="greaterThan">
      <formula>0</formula>
    </cfRule>
  </conditionalFormatting>
  <conditionalFormatting sqref="I25:I33 I36:I37">
    <cfRule type="cellIs" dxfId="168" priority="86" operator="lessThan">
      <formula>$J25</formula>
    </cfRule>
  </conditionalFormatting>
  <conditionalFormatting sqref="H126 J126">
    <cfRule type="cellIs" dxfId="167" priority="78" operator="greaterThan">
      <formula>0</formula>
    </cfRule>
  </conditionalFormatting>
  <conditionalFormatting sqref="J126">
    <cfRule type="cellIs" dxfId="166" priority="77" operator="greaterThan">
      <formula>0</formula>
    </cfRule>
  </conditionalFormatting>
  <conditionalFormatting sqref="H125 J125">
    <cfRule type="cellIs" dxfId="165" priority="76" operator="greaterThan">
      <formula>0</formula>
    </cfRule>
  </conditionalFormatting>
  <conditionalFormatting sqref="J125">
    <cfRule type="cellIs" dxfId="164" priority="75" operator="greaterThan">
      <formula>0</formula>
    </cfRule>
  </conditionalFormatting>
  <conditionalFormatting sqref="L72:M72 L74:M74">
    <cfRule type="cellIs" dxfId="163" priority="44" operator="greaterThan">
      <formula>0</formula>
    </cfRule>
  </conditionalFormatting>
  <conditionalFormatting sqref="I72:J75">
    <cfRule type="cellIs" dxfId="162" priority="55" operator="lessThan">
      <formula>$J72</formula>
    </cfRule>
  </conditionalFormatting>
  <conditionalFormatting sqref="L73:M73 L75:M75">
    <cfRule type="cellIs" dxfId="161" priority="50" operator="greaterThan">
      <formula>0</formula>
    </cfRule>
  </conditionalFormatting>
  <conditionalFormatting sqref="L73:M73 L75:M75">
    <cfRule type="cellIs" dxfId="160" priority="47" operator="greaterThan">
      <formula>0</formula>
    </cfRule>
  </conditionalFormatting>
  <conditionalFormatting sqref="I81:J83">
    <cfRule type="cellIs" dxfId="159" priority="36" operator="greaterThan">
      <formula>0</formula>
    </cfRule>
  </conditionalFormatting>
  <conditionalFormatting sqref="L81:M82">
    <cfRule type="cellIs" dxfId="158" priority="37" operator="greaterThan">
      <formula>0</formula>
    </cfRule>
  </conditionalFormatting>
  <conditionalFormatting sqref="I81:J83">
    <cfRule type="cellIs" dxfId="157" priority="38" operator="lessThan">
      <formula>$J81</formula>
    </cfRule>
  </conditionalFormatting>
  <conditionalFormatting sqref="L83:M83">
    <cfRule type="cellIs" dxfId="156" priority="34" operator="greaterThan">
      <formula>0</formula>
    </cfRule>
  </conditionalFormatting>
  <conditionalFormatting sqref="L44:M44 L46:M46 L48:M48 L50:M50 L52:M52 L54:M54 L56:M56 L58:M58 L60:M60 L62:M62 L64:M64 L66:M66">
    <cfRule type="cellIs" dxfId="155" priority="21" operator="greaterThan">
      <formula>0</formula>
    </cfRule>
  </conditionalFormatting>
  <conditionalFormatting sqref="L72:M72 L74:M74">
    <cfRule type="cellIs" dxfId="154" priority="14" operator="greaterThan">
      <formula>0</formula>
    </cfRule>
  </conditionalFormatting>
  <conditionalFormatting sqref="I43:J66">
    <cfRule type="cellIs" dxfId="153" priority="22" operator="greaterThan">
      <formula>0</formula>
    </cfRule>
  </conditionalFormatting>
  <conditionalFormatting sqref="L43:M45 L47:M47 L49:M49 L51:M51 L53:M55 L57:M57 L59:M59 L61:M61 L63:M63 L65:M65">
    <cfRule type="cellIs" dxfId="152" priority="20" operator="greaterThan">
      <formula>0</formula>
    </cfRule>
  </conditionalFormatting>
  <conditionalFormatting sqref="L44:M44 L46:M46 L48:M48 L50:M50 L52:M52 L54:M54 L56:M56 L58:M58 L60:M60 L62:M62 L64:M64 L66:M66">
    <cfRule type="cellIs" dxfId="151" priority="19" operator="greaterThan">
      <formula>0</formula>
    </cfRule>
  </conditionalFormatting>
  <conditionalFormatting sqref="L43:M45 L47:M47 L49:M49 L51:M51 L53:M55 L57:M57 L59:M59 L61:M61 L63:M63 L65:M65">
    <cfRule type="cellIs" dxfId="150" priority="18" operator="greaterThan">
      <formula>0</formula>
    </cfRule>
  </conditionalFormatting>
  <conditionalFormatting sqref="M43:M66">
    <cfRule type="cellIs" dxfId="149" priority="17" operator="greaterThan">
      <formula>0</formula>
    </cfRule>
  </conditionalFormatting>
  <conditionalFormatting sqref="I43:I66">
    <cfRule type="cellIs" dxfId="148" priority="23" operator="lessThan">
      <formula>$J43</formula>
    </cfRule>
  </conditionalFormatting>
  <conditionalFormatting sqref="L73:M73 L75:M75">
    <cfRule type="cellIs" dxfId="147" priority="16" operator="greaterThan">
      <formula>0</formula>
    </cfRule>
  </conditionalFormatting>
  <conditionalFormatting sqref="L72:M72 L74:M74">
    <cfRule type="cellIs" dxfId="146" priority="15" operator="greaterThan">
      <formula>0</formula>
    </cfRule>
  </conditionalFormatting>
  <conditionalFormatting sqref="L34:M35">
    <cfRule type="cellIs" dxfId="145" priority="13" operator="greaterThan">
      <formula>0</formula>
    </cfRule>
  </conditionalFormatting>
  <conditionalFormatting sqref="I34:J35">
    <cfRule type="cellIs" dxfId="144" priority="12" operator="greaterThan">
      <formula>0</formula>
    </cfRule>
  </conditionalFormatting>
  <conditionalFormatting sqref="I34:I35">
    <cfRule type="cellIs" dxfId="143" priority="11" operator="lessThan">
      <formula>$J34</formula>
    </cfRule>
  </conditionalFormatting>
  <conditionalFormatting sqref="I65:J65">
    <cfRule type="cellIs" dxfId="142" priority="9" operator="greaterThan">
      <formula>0</formula>
    </cfRule>
  </conditionalFormatting>
  <conditionalFormatting sqref="L65:M65">
    <cfRule type="cellIs" dxfId="141" priority="8" operator="greaterThan">
      <formula>0</formula>
    </cfRule>
  </conditionalFormatting>
  <conditionalFormatting sqref="L65:M65">
    <cfRule type="cellIs" dxfId="140" priority="7" operator="greaterThan">
      <formula>0</formula>
    </cfRule>
  </conditionalFormatting>
  <conditionalFormatting sqref="M65">
    <cfRule type="cellIs" dxfId="139" priority="6" operator="greaterThan">
      <formula>0</formula>
    </cfRule>
  </conditionalFormatting>
  <conditionalFormatting sqref="I65">
    <cfRule type="cellIs" dxfId="138" priority="10" operator="lessThan">
      <formula>$J65</formula>
    </cfRule>
  </conditionalFormatting>
  <conditionalFormatting sqref="L66:M66">
    <cfRule type="cellIs" dxfId="137" priority="3" operator="greaterThan">
      <formula>0</formula>
    </cfRule>
  </conditionalFormatting>
  <conditionalFormatting sqref="I66:J66">
    <cfRule type="cellIs" dxfId="136" priority="4" operator="greaterThan">
      <formula>0</formula>
    </cfRule>
  </conditionalFormatting>
  <conditionalFormatting sqref="L66:M66">
    <cfRule type="cellIs" dxfId="135" priority="2" operator="greaterThan">
      <formula>0</formula>
    </cfRule>
  </conditionalFormatting>
  <conditionalFormatting sqref="M66">
    <cfRule type="cellIs" dxfId="134" priority="1" operator="greaterThan">
      <formula>0</formula>
    </cfRule>
  </conditionalFormatting>
  <conditionalFormatting sqref="I66">
    <cfRule type="cellIs" dxfId="133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9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3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4"/>
      <c r="L4" s="166"/>
      <c r="M4" s="626"/>
      <c r="N4" s="164"/>
      <c r="O4" s="167"/>
    </row>
    <row r="5" spans="1:28" s="168" customFormat="1" ht="25.5" customHeight="1">
      <c r="A5" s="164"/>
      <c r="B5" s="67" t="s">
        <v>428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6"/>
      <c r="N7" s="164"/>
      <c r="O7" s="167"/>
    </row>
    <row r="8" spans="1:28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26"/>
      <c r="N8" s="164"/>
      <c r="O8" s="167"/>
    </row>
    <row r="9" spans="1:28" s="168" customFormat="1" ht="25.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6"/>
      <c r="N9" s="164"/>
      <c r="O9" s="167"/>
    </row>
    <row r="10" spans="1:28" s="168" customFormat="1" ht="25.5" customHeight="1">
      <c r="A10" s="164"/>
      <c r="B10" s="474" t="s">
        <v>3</v>
      </c>
      <c r="C10" s="435"/>
      <c r="D10" s="164"/>
      <c r="E10" s="164"/>
      <c r="F10" s="164"/>
      <c r="G10" s="164"/>
      <c r="H10" s="164"/>
      <c r="I10" s="164"/>
      <c r="J10" s="164"/>
      <c r="K10" s="164"/>
      <c r="L10" s="166"/>
      <c r="M10" s="626"/>
      <c r="N10" s="164"/>
      <c r="O10" s="167"/>
    </row>
    <row r="11" spans="1:28" s="176" customFormat="1" ht="25.5" customHeight="1">
      <c r="A11" s="169"/>
      <c r="B11" s="64"/>
      <c r="C11" s="64"/>
      <c r="D11" s="718" t="str">
        <f>"1 SEK = "&amp;EUR&amp;" EUR"</f>
        <v>1 SEK = 0,098 EUR</v>
      </c>
      <c r="E11" s="718"/>
      <c r="F11" s="718"/>
      <c r="G11" s="171"/>
      <c r="H11" s="171"/>
      <c r="I11" s="172"/>
      <c r="J11" s="169"/>
      <c r="K11" s="169"/>
      <c r="L11" s="174"/>
      <c r="M11" s="627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8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9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9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L15" s="190"/>
      <c r="M15" s="63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L16" s="190"/>
      <c r="M16" s="63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L17" s="190"/>
      <c r="M17" s="630"/>
      <c r="O17" s="191"/>
      <c r="U17" s="192"/>
      <c r="Z17" s="192"/>
      <c r="AA17" s="192"/>
      <c r="AB17" s="192"/>
    </row>
    <row r="18" spans="2:28" s="187" customFormat="1" ht="25.5" customHeight="1">
      <c r="B18" s="612" t="s">
        <v>5</v>
      </c>
      <c r="C18" s="448"/>
      <c r="D18" s="448"/>
      <c r="E18" s="448"/>
      <c r="F18" s="589"/>
      <c r="H18" s="188"/>
      <c r="J18" s="189"/>
      <c r="L18" s="190"/>
      <c r="M18" s="63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6</v>
      </c>
      <c r="C19" s="700"/>
      <c r="D19" s="700"/>
      <c r="E19" s="700"/>
      <c r="F19" s="700"/>
      <c r="G19" s="194"/>
      <c r="H19" s="195"/>
      <c r="I19" s="194"/>
      <c r="J19" s="196"/>
      <c r="K19" s="194"/>
      <c r="L19" s="198"/>
      <c r="M19" s="631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5" t="s">
        <v>413</v>
      </c>
      <c r="C20" s="76"/>
      <c r="D20" s="76"/>
      <c r="E20" s="76"/>
      <c r="F20" s="581"/>
      <c r="G20" s="194"/>
      <c r="H20" s="195"/>
      <c r="I20" s="194"/>
      <c r="J20" s="196"/>
      <c r="K20" s="194"/>
      <c r="L20" s="198"/>
      <c r="M20" s="631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4"/>
      <c r="L21" s="198"/>
      <c r="M21" s="631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631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8</v>
      </c>
      <c r="C23" s="11"/>
      <c r="D23" s="11"/>
      <c r="I23" s="168"/>
      <c r="K23" s="168"/>
      <c r="L23" s="204"/>
      <c r="M23" s="632"/>
      <c r="O23" s="205"/>
    </row>
    <row r="24" spans="2:28" s="210" customFormat="1" ht="52">
      <c r="B24" s="482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207" t="s">
        <v>14</v>
      </c>
      <c r="I24" s="208" t="s">
        <v>15</v>
      </c>
      <c r="J24" s="208" t="s">
        <v>16</v>
      </c>
      <c r="K24" s="209"/>
      <c r="L24" s="207" t="s">
        <v>17</v>
      </c>
      <c r="M24" s="633" t="s">
        <v>18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6">
        <v>40</v>
      </c>
      <c r="F25" s="214"/>
      <c r="G25" s="436">
        <f t="shared" ref="G25:G37" si="0">H25/720</f>
        <v>3.7974999999999995E-2</v>
      </c>
      <c r="H25" s="436">
        <f>C25*IAAS_vcpu_EUR+D25*IAAS_ram_EUR+E25*IAAS_ssd_EUR</f>
        <v>27.341999999999999</v>
      </c>
      <c r="I25" s="217"/>
      <c r="J25" s="217"/>
      <c r="K25" s="214" t="s">
        <v>15</v>
      </c>
      <c r="L25" s="438">
        <f t="shared" ref="L25:L37" si="1">ROUNDUP(I25*H25,2)</f>
        <v>0</v>
      </c>
      <c r="M25" s="634">
        <f t="shared" ref="M25:M37" si="2">J25*C25*SW_win.ser.201X_EUR</f>
        <v>0</v>
      </c>
      <c r="O25" s="219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616">
        <v>40</v>
      </c>
      <c r="F26" s="220"/>
      <c r="G26" s="437">
        <f t="shared" si="0"/>
        <v>4.5461111111111112E-2</v>
      </c>
      <c r="H26" s="437">
        <f>C26*IAAS_vcpu_EUR+D26*IAAS_ram_EUR+E26*IAAS_ssd_EUR</f>
        <v>32.731999999999999</v>
      </c>
      <c r="I26" s="217"/>
      <c r="J26" s="217"/>
      <c r="K26" s="220" t="str">
        <f t="shared" ref="K26:K33" si="3">K25</f>
        <v>Instances</v>
      </c>
      <c r="L26" s="439">
        <f t="shared" si="1"/>
        <v>0</v>
      </c>
      <c r="M26" s="635">
        <f t="shared" si="2"/>
        <v>0</v>
      </c>
      <c r="O26" s="219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6">
        <v>40</v>
      </c>
      <c r="F27" s="214"/>
      <c r="G27" s="436">
        <f t="shared" si="0"/>
        <v>7.1322222222222231E-2</v>
      </c>
      <c r="H27" s="436">
        <f t="shared" ref="H27:H36" si="4">C27*IAAS_vcpu_EUR+D27*IAAS_ram_EUR+E27*IAAS_ssd_EUR</f>
        <v>51.352000000000004</v>
      </c>
      <c r="I27" s="217"/>
      <c r="J27" s="217"/>
      <c r="K27" s="214" t="str">
        <f t="shared" si="3"/>
        <v>Instances</v>
      </c>
      <c r="L27" s="438">
        <f t="shared" si="1"/>
        <v>0</v>
      </c>
      <c r="M27" s="634">
        <f t="shared" si="2"/>
        <v>0</v>
      </c>
      <c r="N27" s="224"/>
      <c r="O27" s="219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616">
        <v>40</v>
      </c>
      <c r="F28" s="220"/>
      <c r="G28" s="437">
        <f t="shared" si="0"/>
        <v>0.12304444444444444</v>
      </c>
      <c r="H28" s="437">
        <f t="shared" si="4"/>
        <v>88.591999999999999</v>
      </c>
      <c r="I28" s="217"/>
      <c r="J28" s="217"/>
      <c r="K28" s="220" t="str">
        <f t="shared" si="3"/>
        <v>Instances</v>
      </c>
      <c r="L28" s="439">
        <f t="shared" si="1"/>
        <v>0</v>
      </c>
      <c r="M28" s="635">
        <f t="shared" si="2"/>
        <v>0</v>
      </c>
      <c r="O28" s="219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6">
        <v>40</v>
      </c>
      <c r="F29" s="214"/>
      <c r="G29" s="436">
        <f t="shared" si="0"/>
        <v>0.22648888888888891</v>
      </c>
      <c r="H29" s="436">
        <f t="shared" si="4"/>
        <v>163.072</v>
      </c>
      <c r="I29" s="217"/>
      <c r="J29" s="217"/>
      <c r="K29" s="214" t="str">
        <f t="shared" si="3"/>
        <v>Instances</v>
      </c>
      <c r="L29" s="438">
        <f t="shared" si="1"/>
        <v>0</v>
      </c>
      <c r="M29" s="634">
        <f t="shared" si="2"/>
        <v>0</v>
      </c>
      <c r="O29" s="219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616">
        <v>40</v>
      </c>
      <c r="F30" s="220"/>
      <c r="G30" s="437">
        <f t="shared" si="0"/>
        <v>0.43337777777777781</v>
      </c>
      <c r="H30" s="437">
        <f t="shared" si="4"/>
        <v>312.03200000000004</v>
      </c>
      <c r="I30" s="217"/>
      <c r="J30" s="217"/>
      <c r="K30" s="220" t="str">
        <f t="shared" si="3"/>
        <v>Instances</v>
      </c>
      <c r="L30" s="439">
        <f t="shared" si="1"/>
        <v>0</v>
      </c>
      <c r="M30" s="635">
        <f t="shared" si="2"/>
        <v>0</v>
      </c>
      <c r="O30" s="219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6">
        <v>40</v>
      </c>
      <c r="F31" s="214"/>
      <c r="G31" s="436">
        <f t="shared" si="0"/>
        <v>6.0433333333333332E-2</v>
      </c>
      <c r="H31" s="436">
        <f t="shared" si="4"/>
        <v>43.512</v>
      </c>
      <c r="I31" s="217"/>
      <c r="J31" s="217"/>
      <c r="K31" s="214" t="str">
        <f t="shared" si="3"/>
        <v>Instances</v>
      </c>
      <c r="L31" s="438">
        <f t="shared" si="1"/>
        <v>0</v>
      </c>
      <c r="M31" s="634">
        <f t="shared" si="2"/>
        <v>0</v>
      </c>
      <c r="O31" s="219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616">
        <v>40</v>
      </c>
      <c r="F32" s="220"/>
      <c r="G32" s="437">
        <f t="shared" si="0"/>
        <v>0.10126666666666667</v>
      </c>
      <c r="H32" s="437">
        <f t="shared" si="4"/>
        <v>72.912000000000006</v>
      </c>
      <c r="I32" s="217"/>
      <c r="J32" s="217"/>
      <c r="K32" s="220" t="str">
        <f t="shared" si="3"/>
        <v>Instances</v>
      </c>
      <c r="L32" s="439">
        <f t="shared" si="1"/>
        <v>0</v>
      </c>
      <c r="M32" s="635">
        <f t="shared" si="2"/>
        <v>0</v>
      </c>
      <c r="O32" s="219"/>
    </row>
    <row r="33" spans="2:22" s="192" customFormat="1" ht="25.5" customHeight="1">
      <c r="B33" s="483" t="s">
        <v>27</v>
      </c>
      <c r="C33" s="16">
        <v>4</v>
      </c>
      <c r="D33" s="16">
        <v>16</v>
      </c>
      <c r="E33" s="16">
        <v>40</v>
      </c>
      <c r="F33" s="214"/>
      <c r="G33" s="436">
        <f t="shared" si="0"/>
        <v>0.18293333333333336</v>
      </c>
      <c r="H33" s="436">
        <f t="shared" si="4"/>
        <v>131.71200000000002</v>
      </c>
      <c r="I33" s="217"/>
      <c r="J33" s="217"/>
      <c r="K33" s="214" t="str">
        <f t="shared" si="3"/>
        <v>Instances</v>
      </c>
      <c r="L33" s="438">
        <f t="shared" si="1"/>
        <v>0</v>
      </c>
      <c r="M33" s="634">
        <f t="shared" si="2"/>
        <v>0</v>
      </c>
      <c r="O33" s="219"/>
    </row>
    <row r="34" spans="2:22" s="192" customFormat="1" ht="25.5" customHeight="1">
      <c r="B34" s="484" t="s">
        <v>28</v>
      </c>
      <c r="C34" s="18">
        <v>8</v>
      </c>
      <c r="D34" s="18">
        <v>32</v>
      </c>
      <c r="E34" s="616">
        <v>40</v>
      </c>
      <c r="F34" s="220"/>
      <c r="G34" s="437">
        <f t="shared" ref="G34:G35" si="5">H34/720</f>
        <v>0.34626666666666667</v>
      </c>
      <c r="H34" s="437">
        <f t="shared" ref="H34" si="6">C34*IAAS_vcpu_EUR+D34*IAAS_ram_EUR+E34*IAAS_ssd_EUR</f>
        <v>249.31200000000001</v>
      </c>
      <c r="I34" s="217"/>
      <c r="J34" s="217"/>
      <c r="K34" s="220" t="str">
        <f>K33</f>
        <v>Instances</v>
      </c>
      <c r="L34" s="439">
        <f t="shared" si="1"/>
        <v>0</v>
      </c>
      <c r="M34" s="635">
        <f t="shared" si="2"/>
        <v>0</v>
      </c>
      <c r="O34" s="219"/>
      <c r="T34" s="200"/>
      <c r="U34" s="200"/>
      <c r="V34" s="200"/>
    </row>
    <row r="35" spans="2:22" s="192" customFormat="1" ht="25.5" customHeight="1">
      <c r="B35" s="483" t="s">
        <v>29</v>
      </c>
      <c r="C35" s="16">
        <v>16</v>
      </c>
      <c r="D35" s="16">
        <v>64</v>
      </c>
      <c r="E35" s="16">
        <v>40</v>
      </c>
      <c r="F35" s="214"/>
      <c r="G35" s="436">
        <f t="shared" si="5"/>
        <v>0.67293333333333338</v>
      </c>
      <c r="H35" s="436">
        <f>C35*IAAS_vcpu_EUR+D35*IAAS_ram_EUR+E35*IAAS_ssd_EUR</f>
        <v>484.51200000000006</v>
      </c>
      <c r="I35" s="217"/>
      <c r="J35" s="217"/>
      <c r="K35" s="214" t="str">
        <f>K34</f>
        <v>Instances</v>
      </c>
      <c r="L35" s="438">
        <f t="shared" si="1"/>
        <v>0</v>
      </c>
      <c r="M35" s="634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4" t="s">
        <v>404</v>
      </c>
      <c r="C36" s="18">
        <v>32</v>
      </c>
      <c r="D36" s="18">
        <v>128</v>
      </c>
      <c r="E36" s="616">
        <v>40</v>
      </c>
      <c r="F36" s="220"/>
      <c r="G36" s="437">
        <f t="shared" si="0"/>
        <v>1.3262666666666667</v>
      </c>
      <c r="H36" s="437">
        <f t="shared" si="4"/>
        <v>954.91200000000003</v>
      </c>
      <c r="I36" s="217"/>
      <c r="J36" s="217"/>
      <c r="K36" s="220" t="str">
        <f>K35</f>
        <v>Instances</v>
      </c>
      <c r="L36" s="439">
        <f t="shared" si="1"/>
        <v>0</v>
      </c>
      <c r="M36" s="635">
        <f t="shared" si="2"/>
        <v>0</v>
      </c>
      <c r="O36" s="219"/>
      <c r="T36" s="200"/>
      <c r="U36" s="200"/>
      <c r="V36" s="200"/>
    </row>
    <row r="37" spans="2:22" s="192" customFormat="1" ht="25.5" customHeight="1">
      <c r="B37" s="483" t="s">
        <v>405</v>
      </c>
      <c r="C37" s="16">
        <v>64</v>
      </c>
      <c r="D37" s="16">
        <v>256</v>
      </c>
      <c r="E37" s="16">
        <v>40</v>
      </c>
      <c r="F37" s="214"/>
      <c r="G37" s="436">
        <f t="shared" si="0"/>
        <v>2.6329333333333338</v>
      </c>
      <c r="H37" s="436">
        <f>C37*IAAS_vcpu_EUR+D37*IAAS_ram_EUR+E37*IAAS_ssd_EUR</f>
        <v>1895.7120000000002</v>
      </c>
      <c r="I37" s="217"/>
      <c r="J37" s="217"/>
      <c r="K37" s="214" t="str">
        <f>K36</f>
        <v>Instances</v>
      </c>
      <c r="L37" s="438">
        <f t="shared" si="1"/>
        <v>0</v>
      </c>
      <c r="M37" s="634">
        <f t="shared" si="2"/>
        <v>0</v>
      </c>
      <c r="O37" s="219"/>
      <c r="T37" s="200"/>
      <c r="U37" s="200"/>
      <c r="V37" s="200"/>
    </row>
    <row r="38" spans="2:22" ht="25.5" customHeight="1">
      <c r="B38" s="485" t="s">
        <v>30</v>
      </c>
      <c r="C38" s="622" cm="1">
        <f t="array" ref="C38">SUM(C25:C37*I25:I37)</f>
        <v>0</v>
      </c>
      <c r="D38" s="622" cm="1">
        <f t="array" ref="D38">SUM(D25:D37*I25:I37)</f>
        <v>0</v>
      </c>
      <c r="E38" s="622" cm="1">
        <f t="array" ref="E38">SUM(E25:E37*I25:I37)</f>
        <v>0</v>
      </c>
      <c r="F38" s="485"/>
      <c r="G38" s="485"/>
      <c r="H38" s="485"/>
      <c r="I38" s="622">
        <f>SUM(I25:I37)</f>
        <v>0</v>
      </c>
      <c r="J38" s="622">
        <f>SUM(J25:J37)</f>
        <v>0</v>
      </c>
      <c r="K38" s="485"/>
      <c r="L38" s="623" t="str">
        <f>SUM(L25:L37)&amp;" €"</f>
        <v>0 €</v>
      </c>
      <c r="M38" s="636" t="str">
        <f>SUM(M25:M37)&amp;" €"</f>
        <v>0 €</v>
      </c>
      <c r="O38" s="205"/>
      <c r="T38" s="200"/>
      <c r="U38" s="200"/>
      <c r="V38" s="228"/>
    </row>
    <row r="39" spans="2:22" ht="25.5" customHeight="1"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7"/>
      <c r="O39" s="205"/>
      <c r="T39" s="200"/>
      <c r="U39" s="200"/>
      <c r="V39" s="228"/>
    </row>
    <row r="40" spans="2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7"/>
      <c r="O40" s="205"/>
      <c r="T40" s="200"/>
      <c r="U40" s="200"/>
      <c r="V40" s="228"/>
    </row>
    <row r="41" spans="2:22" s="237" customFormat="1" ht="31">
      <c r="B41" s="449" t="s">
        <v>31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8"/>
      <c r="O41" s="238"/>
      <c r="T41" s="239"/>
      <c r="U41" s="239"/>
      <c r="V41" s="240"/>
    </row>
    <row r="42" spans="2:22" s="241" customFormat="1" ht="52">
      <c r="B42" s="482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207" t="s">
        <v>14</v>
      </c>
      <c r="I42" s="208" t="s">
        <v>15</v>
      </c>
      <c r="J42" s="208" t="s">
        <v>16</v>
      </c>
      <c r="K42" s="209"/>
      <c r="L42" s="207" t="s">
        <v>17</v>
      </c>
      <c r="M42" s="633" t="s">
        <v>18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442">
        <f t="shared" ref="G43:G65" si="7">H43/720</f>
        <v>1.9736111111111114E-2</v>
      </c>
      <c r="H43" s="442">
        <f t="shared" ref="H43:H65" si="8">C43*IAAS_vcpu_EUR+D43*IAAS_ram_EUR+E43*IAAS_nvme_EUR</f>
        <v>14.21</v>
      </c>
      <c r="I43" s="217"/>
      <c r="J43" s="217"/>
      <c r="K43" s="249" t="str">
        <f>K37</f>
        <v>Instances</v>
      </c>
      <c r="L43" s="438">
        <f t="shared" ref="L43:L66" si="9">ROUNDUP(I43*H43,2)</f>
        <v>0</v>
      </c>
      <c r="M43" s="634">
        <f t="shared" ref="M43:M66" si="10">J43*C43*SW_win.ser.201X_EUR</f>
        <v>0</v>
      </c>
      <c r="O43" s="219"/>
      <c r="T43" s="200"/>
      <c r="V43" s="200"/>
    </row>
    <row r="44" spans="2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441">
        <f t="shared" si="7"/>
        <v>2.8583333333333336E-2</v>
      </c>
      <c r="H44" s="441">
        <f t="shared" si="8"/>
        <v>20.580000000000002</v>
      </c>
      <c r="I44" s="217"/>
      <c r="J44" s="217"/>
      <c r="K44" s="251" t="str">
        <f>K43</f>
        <v>Instances</v>
      </c>
      <c r="L44" s="439">
        <f t="shared" si="9"/>
        <v>0</v>
      </c>
      <c r="M44" s="639">
        <f t="shared" si="10"/>
        <v>0</v>
      </c>
      <c r="O44" s="219"/>
      <c r="T44" s="200"/>
      <c r="V44" s="200"/>
    </row>
    <row r="45" spans="2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442">
        <f t="shared" si="7"/>
        <v>8.5750000000000007E-2</v>
      </c>
      <c r="H45" s="442">
        <f t="shared" si="8"/>
        <v>61.74</v>
      </c>
      <c r="I45" s="217"/>
      <c r="J45" s="217"/>
      <c r="K45" s="249" t="str">
        <f t="shared" ref="K45:K66" si="11">K44</f>
        <v>Instances</v>
      </c>
      <c r="L45" s="438">
        <f t="shared" si="9"/>
        <v>0</v>
      </c>
      <c r="M45" s="634">
        <f t="shared" si="10"/>
        <v>0</v>
      </c>
      <c r="O45" s="219"/>
      <c r="T45" s="200"/>
      <c r="V45" s="200"/>
    </row>
    <row r="46" spans="2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441">
        <f t="shared" si="7"/>
        <v>0.13747222222222222</v>
      </c>
      <c r="H46" s="441">
        <f t="shared" si="8"/>
        <v>98.98</v>
      </c>
      <c r="I46" s="217"/>
      <c r="J46" s="217"/>
      <c r="K46" s="251" t="str">
        <f t="shared" si="11"/>
        <v>Instances</v>
      </c>
      <c r="L46" s="439">
        <f t="shared" si="9"/>
        <v>0</v>
      </c>
      <c r="M46" s="639">
        <f t="shared" si="10"/>
        <v>0</v>
      </c>
      <c r="O46" s="219"/>
      <c r="T46" s="200"/>
      <c r="V46" s="200"/>
    </row>
    <row r="47" spans="2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442">
        <f t="shared" si="7"/>
        <v>0.24091666666666667</v>
      </c>
      <c r="H47" s="442">
        <f t="shared" si="8"/>
        <v>173.46</v>
      </c>
      <c r="I47" s="217"/>
      <c r="J47" s="217"/>
      <c r="K47" s="249" t="str">
        <f t="shared" si="11"/>
        <v>Instances</v>
      </c>
      <c r="L47" s="438">
        <f t="shared" si="9"/>
        <v>0</v>
      </c>
      <c r="M47" s="634">
        <f t="shared" si="10"/>
        <v>0</v>
      </c>
      <c r="O47" s="219"/>
      <c r="T47" s="200"/>
      <c r="V47" s="200"/>
    </row>
    <row r="48" spans="2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441">
        <f t="shared" si="7"/>
        <v>0.44780555555555557</v>
      </c>
      <c r="H48" s="441">
        <f t="shared" si="8"/>
        <v>322.42</v>
      </c>
      <c r="I48" s="217"/>
      <c r="J48" s="217"/>
      <c r="K48" s="251" t="str">
        <f t="shared" si="11"/>
        <v>Instances</v>
      </c>
      <c r="L48" s="439">
        <f t="shared" si="9"/>
        <v>0</v>
      </c>
      <c r="M48" s="639">
        <f t="shared" si="10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442">
        <f t="shared" si="7"/>
        <v>0.48183333333333334</v>
      </c>
      <c r="H49" s="442">
        <f t="shared" si="8"/>
        <v>346.92</v>
      </c>
      <c r="I49" s="217"/>
      <c r="J49" s="217"/>
      <c r="K49" s="249" t="str">
        <f t="shared" si="11"/>
        <v>Instances</v>
      </c>
      <c r="L49" s="438">
        <f t="shared" si="9"/>
        <v>0</v>
      </c>
      <c r="M49" s="634">
        <f t="shared" si="10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441">
        <f t="shared" si="7"/>
        <v>0.54988888888888887</v>
      </c>
      <c r="H50" s="441">
        <f t="shared" si="8"/>
        <v>395.92</v>
      </c>
      <c r="I50" s="217"/>
      <c r="J50" s="217"/>
      <c r="K50" s="251" t="str">
        <f t="shared" si="11"/>
        <v>Instances</v>
      </c>
      <c r="L50" s="439">
        <f t="shared" si="9"/>
        <v>0</v>
      </c>
      <c r="M50" s="639">
        <f t="shared" si="10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442">
        <f t="shared" si="7"/>
        <v>0.86158333333333337</v>
      </c>
      <c r="H51" s="442">
        <f t="shared" si="8"/>
        <v>620.34</v>
      </c>
      <c r="I51" s="217"/>
      <c r="J51" s="217"/>
      <c r="K51" s="249" t="str">
        <f t="shared" si="11"/>
        <v>Instances</v>
      </c>
      <c r="L51" s="438">
        <f t="shared" si="9"/>
        <v>0</v>
      </c>
      <c r="M51" s="634">
        <f t="shared" si="10"/>
        <v>0</v>
      </c>
      <c r="O51" s="219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441">
        <f t="shared" si="7"/>
        <v>0.89561111111111114</v>
      </c>
      <c r="H52" s="441">
        <f t="shared" si="8"/>
        <v>644.84</v>
      </c>
      <c r="I52" s="217"/>
      <c r="J52" s="217"/>
      <c r="K52" s="251" t="str">
        <f>K47</f>
        <v>Instances</v>
      </c>
      <c r="L52" s="439">
        <f t="shared" si="9"/>
        <v>0</v>
      </c>
      <c r="M52" s="639">
        <f t="shared" si="10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442">
        <f t="shared" si="7"/>
        <v>0.96366666666666667</v>
      </c>
      <c r="H53" s="442">
        <f t="shared" si="8"/>
        <v>693.84</v>
      </c>
      <c r="I53" s="217"/>
      <c r="J53" s="217"/>
      <c r="K53" s="249" t="str">
        <f t="shared" si="11"/>
        <v>Instances</v>
      </c>
      <c r="L53" s="438">
        <f t="shared" si="9"/>
        <v>0</v>
      </c>
      <c r="M53" s="634">
        <f t="shared" si="10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441">
        <f t="shared" si="7"/>
        <v>4.3555555555555563E-2</v>
      </c>
      <c r="H54" s="441">
        <f t="shared" si="8"/>
        <v>31.360000000000003</v>
      </c>
      <c r="I54" s="217"/>
      <c r="J54" s="217"/>
      <c r="K54" s="251" t="str">
        <f t="shared" si="11"/>
        <v>Instances</v>
      </c>
      <c r="L54" s="439">
        <f t="shared" si="9"/>
        <v>0</v>
      </c>
      <c r="M54" s="639">
        <f t="shared" si="10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442">
        <f t="shared" si="7"/>
        <v>0.11569444444444446</v>
      </c>
      <c r="H55" s="442">
        <f t="shared" si="8"/>
        <v>83.300000000000011</v>
      </c>
      <c r="I55" s="217"/>
      <c r="J55" s="217"/>
      <c r="K55" s="249" t="str">
        <f t="shared" si="11"/>
        <v>Instances</v>
      </c>
      <c r="L55" s="438">
        <f t="shared" si="9"/>
        <v>0</v>
      </c>
      <c r="M55" s="634">
        <f t="shared" si="10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441">
        <f t="shared" si="7"/>
        <v>0.19736111111111115</v>
      </c>
      <c r="H56" s="441">
        <f t="shared" si="8"/>
        <v>142.10000000000002</v>
      </c>
      <c r="I56" s="217"/>
      <c r="J56" s="217"/>
      <c r="K56" s="251" t="str">
        <f t="shared" si="11"/>
        <v>Instances</v>
      </c>
      <c r="L56" s="439">
        <f t="shared" si="9"/>
        <v>0</v>
      </c>
      <c r="M56" s="639">
        <f t="shared" si="10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442">
        <f t="shared" si="7"/>
        <v>0.36069444444444448</v>
      </c>
      <c r="H57" s="442">
        <f t="shared" si="8"/>
        <v>259.70000000000005</v>
      </c>
      <c r="I57" s="217"/>
      <c r="J57" s="217"/>
      <c r="K57" s="249" t="str">
        <f t="shared" si="11"/>
        <v>Instances</v>
      </c>
      <c r="L57" s="438">
        <f t="shared" si="9"/>
        <v>0</v>
      </c>
      <c r="M57" s="634">
        <f t="shared" si="10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441">
        <f t="shared" si="7"/>
        <v>0.39472222222222231</v>
      </c>
      <c r="H58" s="441">
        <f t="shared" si="8"/>
        <v>284.20000000000005</v>
      </c>
      <c r="I58" s="217"/>
      <c r="J58" s="217"/>
      <c r="K58" s="251" t="str">
        <f t="shared" si="11"/>
        <v>Instances</v>
      </c>
      <c r="L58" s="439">
        <f t="shared" si="9"/>
        <v>0</v>
      </c>
      <c r="M58" s="639">
        <f t="shared" si="10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442">
        <f t="shared" si="7"/>
        <v>0.46277777777777784</v>
      </c>
      <c r="H59" s="442">
        <f t="shared" si="8"/>
        <v>333.20000000000005</v>
      </c>
      <c r="I59" s="217"/>
      <c r="J59" s="217"/>
      <c r="K59" s="249" t="str">
        <f t="shared" si="11"/>
        <v>Instances</v>
      </c>
      <c r="L59" s="438">
        <f t="shared" si="9"/>
        <v>0</v>
      </c>
      <c r="M59" s="634">
        <f t="shared" si="10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441">
        <f t="shared" si="7"/>
        <v>0.6873611111111112</v>
      </c>
      <c r="H60" s="441">
        <f t="shared" si="8"/>
        <v>494.90000000000003</v>
      </c>
      <c r="I60" s="217"/>
      <c r="J60" s="217"/>
      <c r="K60" s="251" t="str">
        <f t="shared" si="11"/>
        <v>Instances</v>
      </c>
      <c r="L60" s="439">
        <f t="shared" si="9"/>
        <v>0</v>
      </c>
      <c r="M60" s="639">
        <f t="shared" si="10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442">
        <f t="shared" si="7"/>
        <v>0.72138888888888897</v>
      </c>
      <c r="H61" s="442">
        <f t="shared" si="8"/>
        <v>519.40000000000009</v>
      </c>
      <c r="I61" s="217"/>
      <c r="J61" s="217"/>
      <c r="K61" s="249" t="str">
        <f t="shared" si="11"/>
        <v>Instances</v>
      </c>
      <c r="L61" s="438">
        <f t="shared" si="9"/>
        <v>0</v>
      </c>
      <c r="M61" s="634">
        <f t="shared" si="10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441">
        <f t="shared" ref="G62:G63" si="12">H62/720</f>
        <v>0.78944444444444462</v>
      </c>
      <c r="H62" s="441">
        <f t="shared" ref="H62:H63" si="13">C62*IAAS_vcpu_EUR+D62*IAAS_ram_EUR+E62*IAAS_nvme_EUR</f>
        <v>568.40000000000009</v>
      </c>
      <c r="I62" s="217"/>
      <c r="J62" s="217"/>
      <c r="K62" s="251" t="str">
        <f t="shared" si="11"/>
        <v>Instances</v>
      </c>
      <c r="L62" s="439">
        <f t="shared" si="9"/>
        <v>0</v>
      </c>
      <c r="M62" s="639">
        <f t="shared" si="10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442">
        <f t="shared" si="12"/>
        <v>1.3406944444444446</v>
      </c>
      <c r="H63" s="442">
        <f t="shared" si="13"/>
        <v>965.30000000000007</v>
      </c>
      <c r="I63" s="217"/>
      <c r="J63" s="217"/>
      <c r="K63" s="249" t="str">
        <f t="shared" si="11"/>
        <v>Instances</v>
      </c>
      <c r="L63" s="438">
        <f t="shared" si="9"/>
        <v>0</v>
      </c>
      <c r="M63" s="634">
        <f t="shared" si="10"/>
        <v>0</v>
      </c>
      <c r="O63" s="219"/>
      <c r="T63" s="200"/>
      <c r="V63" s="200"/>
    </row>
    <row r="64" spans="2:22" s="192" customFormat="1" ht="25.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441">
        <f t="shared" si="7"/>
        <v>1.3747222222222224</v>
      </c>
      <c r="H64" s="441">
        <f t="shared" si="8"/>
        <v>989.80000000000007</v>
      </c>
      <c r="I64" s="217"/>
      <c r="J64" s="217"/>
      <c r="K64" s="251" t="str">
        <f t="shared" si="11"/>
        <v>Instances</v>
      </c>
      <c r="L64" s="439">
        <f t="shared" si="9"/>
        <v>0</v>
      </c>
      <c r="M64" s="639">
        <f t="shared" si="10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442">
        <f t="shared" si="7"/>
        <v>1.4427777777777779</v>
      </c>
      <c r="H65" s="442">
        <f t="shared" si="8"/>
        <v>1038.8000000000002</v>
      </c>
      <c r="I65" s="217"/>
      <c r="J65" s="217"/>
      <c r="K65" s="249" t="str">
        <f t="shared" si="11"/>
        <v>Instances</v>
      </c>
      <c r="L65" s="438">
        <f t="shared" si="9"/>
        <v>0</v>
      </c>
      <c r="M65" s="634">
        <f t="shared" si="10"/>
        <v>0</v>
      </c>
      <c r="O65" s="219"/>
      <c r="T65" s="200"/>
      <c r="V65" s="200"/>
    </row>
    <row r="66" spans="2:23" s="192" customFormat="1" ht="25.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441">
        <f t="shared" ref="G66" si="14">H66/720</f>
        <v>2.7494444444444448</v>
      </c>
      <c r="H66" s="441">
        <f t="shared" ref="H66" si="15">C66*IAAS_vcpu_EUR+D66*IAAS_ram_EUR+E66*IAAS_nvme_EUR</f>
        <v>1979.6000000000001</v>
      </c>
      <c r="I66" s="217"/>
      <c r="J66" s="217"/>
      <c r="K66" s="251" t="str">
        <f t="shared" si="11"/>
        <v>Instances</v>
      </c>
      <c r="L66" s="439">
        <f t="shared" si="9"/>
        <v>0</v>
      </c>
      <c r="M66" s="639">
        <f t="shared" si="10"/>
        <v>0</v>
      </c>
      <c r="O66" s="219"/>
      <c r="T66" s="200"/>
      <c r="V66" s="200"/>
    </row>
    <row r="67" spans="2:23" s="192" customFormat="1" ht="25.5" customHeight="1">
      <c r="B67" s="485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24" cm="1">
        <f t="array" ref="E67">SUM(E43:E66*I43:I66)</f>
        <v>0</v>
      </c>
      <c r="F67" s="162"/>
      <c r="G67" s="162"/>
      <c r="H67" s="162"/>
      <c r="I67" s="162">
        <f>SUM(I43:I66)</f>
        <v>0</v>
      </c>
      <c r="J67" s="162">
        <f>SUM(J43:J66)</f>
        <v>0</v>
      </c>
      <c r="K67" s="163"/>
      <c r="L67" s="440">
        <f>SUM(L43:L65)</f>
        <v>0</v>
      </c>
      <c r="M67" s="640">
        <f>SUM(M43:M65)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1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1"/>
      <c r="O69" s="205"/>
      <c r="P69" s="192"/>
      <c r="T69" s="200"/>
      <c r="U69" s="200"/>
      <c r="V69" s="228"/>
    </row>
    <row r="70" spans="2:23" ht="25.5" customHeight="1">
      <c r="B70" s="491" t="s">
        <v>52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642"/>
      <c r="O70" s="205"/>
      <c r="T70" s="200"/>
      <c r="U70" s="200"/>
      <c r="V70" s="228"/>
    </row>
    <row r="71" spans="2:23" s="261" customFormat="1" ht="52">
      <c r="B71" s="482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33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42">
        <f t="shared" ref="G72:G75" si="16">H72/720</f>
        <v>0.94597222222222221</v>
      </c>
      <c r="H72" s="442">
        <f>C72*IAAS_vcpu_EUR+D72*IAAS_ram_EUR+E72*IAAS_nvme_EUR+F72*IAAS_gpu_EUR</f>
        <v>681.1</v>
      </c>
      <c r="I72" s="217"/>
      <c r="J72" s="217"/>
      <c r="K72" s="249" t="str">
        <f>K61</f>
        <v>Instances</v>
      </c>
      <c r="L72" s="438">
        <f>ROUNDUP(I72*H72,2)</f>
        <v>0</v>
      </c>
      <c r="M72" s="634">
        <f>J72*C72*SW_win.ser.201X_EUR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41">
        <f t="shared" si="16"/>
        <v>1.8919444444444444</v>
      </c>
      <c r="H73" s="441">
        <f>C73*IAAS_vcpu_EUR+D73*IAAS_ram_EUR+E73*IAAS_nvme_EUR+F73*IAAS_gpu_EUR</f>
        <v>1362.2</v>
      </c>
      <c r="I73" s="217"/>
      <c r="J73" s="217"/>
      <c r="K73" s="245" t="str">
        <f>K62</f>
        <v>Instances</v>
      </c>
      <c r="L73" s="439">
        <f>ROUNDUP(I73*H73,2)</f>
        <v>0</v>
      </c>
      <c r="M73" s="639">
        <f>J73*C73*SW_win.ser.201X_EUR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42">
        <f t="shared" si="16"/>
        <v>3.7838888888888889</v>
      </c>
      <c r="H74" s="442">
        <f>C74*IAAS_vcpu_EUR+D74*IAAS_ram_EUR+E74*IAAS_nvme_EUR+F74*IAAS_gpu_EUR</f>
        <v>2724.4</v>
      </c>
      <c r="I74" s="217"/>
      <c r="J74" s="217"/>
      <c r="K74" s="249" t="str">
        <f>K63</f>
        <v>Instances</v>
      </c>
      <c r="L74" s="438">
        <f>ROUNDUP(I74*H74,2)</f>
        <v>0</v>
      </c>
      <c r="M74" s="634">
        <f>J74*C74*SW_win.ser.201X_EUR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41">
        <f t="shared" si="16"/>
        <v>5.9344444444444449</v>
      </c>
      <c r="H75" s="441">
        <f>C75*IAAS_vcpu_EUR+D75*IAAS_ram_EUR+E75*IAAS_nvme_EUR+F75*IAAS_gpu_EUR</f>
        <v>4272.8</v>
      </c>
      <c r="I75" s="217"/>
      <c r="J75" s="217"/>
      <c r="K75" s="245" t="str">
        <f>K64</f>
        <v>Instances</v>
      </c>
      <c r="L75" s="439">
        <f>ROUNDUP(I75*H75,2)</f>
        <v>0</v>
      </c>
      <c r="M75" s="639">
        <f>J75*C75*SW_win.ser.201X_EUR</f>
        <v>0</v>
      </c>
      <c r="O75" s="219"/>
      <c r="T75" s="200"/>
      <c r="V75" s="200"/>
    </row>
    <row r="76" spans="2:23" s="268" customFormat="1" ht="25.5" customHeight="1">
      <c r="B76" s="485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40">
        <f>SUM(L72:L75)</f>
        <v>0</v>
      </c>
      <c r="M76" s="64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3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3"/>
      <c r="O78" s="219"/>
      <c r="T78" s="200"/>
      <c r="V78" s="200"/>
    </row>
    <row r="79" spans="2:23" s="237" customFormat="1" ht="31">
      <c r="B79" s="449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3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>
      <c r="B80" s="482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33" t="s">
        <v>18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2">
        <f t="shared" ref="G81:G83" si="17">H81/720</f>
        <v>0.93100000000000005</v>
      </c>
      <c r="H81" s="442">
        <f>INSTANCE_p1.2xlarge.16d_EUR</f>
        <v>670.32</v>
      </c>
      <c r="I81" s="217"/>
      <c r="J81" s="217"/>
      <c r="K81" s="214" t="s">
        <v>60</v>
      </c>
      <c r="L81" s="438">
        <f>ROUNDUP(I81*H81,2)</f>
        <v>0</v>
      </c>
      <c r="M81" s="634">
        <f>J81*C81*SW_win.ser.201X_EUR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441">
        <f t="shared" si="17"/>
        <v>1.8620000000000001</v>
      </c>
      <c r="H82" s="441">
        <f>INSTANCE_p1.4xlarge.16d_EUR</f>
        <v>1340.64</v>
      </c>
      <c r="I82" s="217"/>
      <c r="J82" s="217"/>
      <c r="K82" s="220" t="str">
        <f t="shared" ref="K82" si="18">K81</f>
        <v>Instanser</v>
      </c>
      <c r="L82" s="439">
        <f>ROUNDUP(I82*H82,2)</f>
        <v>0</v>
      </c>
      <c r="M82" s="639">
        <f>J82*C82*SW_win.ser.201X_EUR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443">
        <f t="shared" si="17"/>
        <v>3.7240000000000002</v>
      </c>
      <c r="H83" s="444">
        <f>INSTANCE_p1.8xlarge.32d_EUR</f>
        <v>2681.28</v>
      </c>
      <c r="I83" s="217"/>
      <c r="J83" s="217"/>
      <c r="K83" s="214" t="s">
        <v>60</v>
      </c>
      <c r="L83" s="438">
        <f>ROUNDUP(I83*H83,2)</f>
        <v>0</v>
      </c>
      <c r="M83" s="634">
        <f>J83*C83*SW_win.ser.201X_EUR</f>
        <v>0</v>
      </c>
      <c r="N83" s="280"/>
      <c r="O83" s="281"/>
    </row>
    <row r="84" spans="2:24" ht="25.5" customHeight="1">
      <c r="B84" s="485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40">
        <f>SUM(L81:L83)</f>
        <v>0</v>
      </c>
      <c r="M84" s="640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7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3"/>
      <c r="O86" s="219"/>
      <c r="T86" s="200"/>
      <c r="V86" s="200"/>
    </row>
    <row r="87" spans="2:24" ht="25.5" customHeight="1">
      <c r="B87" s="449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3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9</v>
      </c>
      <c r="C88" s="26" t="s">
        <v>64</v>
      </c>
      <c r="D88" s="26"/>
      <c r="E88" s="139" t="s">
        <v>13</v>
      </c>
      <c r="F88" s="702" t="s">
        <v>65</v>
      </c>
      <c r="G88" s="702"/>
      <c r="H88" s="711"/>
      <c r="I88" s="711"/>
      <c r="J88" s="285" t="s">
        <v>66</v>
      </c>
      <c r="K88" s="284"/>
      <c r="L88" s="284"/>
      <c r="M88" s="644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445">
        <f>F89/720</f>
        <v>1.6333333333333334E-4</v>
      </c>
      <c r="F89" s="749">
        <f>VOLUME_large_EUR</f>
        <v>0.1176</v>
      </c>
      <c r="G89" s="749"/>
      <c r="H89" s="712"/>
      <c r="I89" s="712"/>
      <c r="J89" s="290"/>
      <c r="K89" s="291" t="s">
        <v>69</v>
      </c>
      <c r="L89" s="291"/>
      <c r="M89" s="645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446">
        <f>F90/720</f>
        <v>4.8999999999999998E-4</v>
      </c>
      <c r="F90" s="751">
        <f>VOLUME_fast_EUR</f>
        <v>0.3528</v>
      </c>
      <c r="G90" s="751"/>
      <c r="H90" s="713"/>
      <c r="I90" s="713"/>
      <c r="J90" s="294"/>
      <c r="K90" s="295" t="s">
        <v>69</v>
      </c>
      <c r="L90" s="295"/>
      <c r="M90" s="646">
        <f>ROUNDUP(J90*F90,2)</f>
        <v>0</v>
      </c>
      <c r="N90" s="201"/>
      <c r="O90" s="219"/>
      <c r="X90" s="200"/>
    </row>
    <row r="91" spans="2:24" ht="25.5" customHeight="1">
      <c r="B91" s="485" t="s">
        <v>30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40">
        <f>SUM(M89:M90)</f>
        <v>0</v>
      </c>
      <c r="O91" s="205"/>
    </row>
    <row r="92" spans="2:24" ht="25.5" customHeight="1">
      <c r="B92" s="494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7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7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7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63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63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630"/>
      <c r="O97" s="191"/>
    </row>
    <row r="98" spans="2:23" s="187" customFormat="1" ht="25.5" customHeight="1">
      <c r="B98" s="699" t="s">
        <v>73</v>
      </c>
      <c r="C98" s="699"/>
      <c r="D98" s="699"/>
      <c r="E98" s="699"/>
      <c r="F98" s="699"/>
      <c r="H98" s="188"/>
      <c r="J98" s="189"/>
      <c r="K98" s="189"/>
      <c r="M98" s="630"/>
      <c r="N98" s="194"/>
      <c r="O98" s="199"/>
    </row>
    <row r="99" spans="2:23" s="311" customFormat="1" ht="25.5" customHeight="1">
      <c r="B99" s="700" t="s">
        <v>74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648"/>
      <c r="N99" s="305"/>
      <c r="O99" s="310"/>
    </row>
    <row r="100" spans="2:23" s="187" customFormat="1" ht="25.5" customHeight="1">
      <c r="B100" s="8" t="s">
        <v>7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631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631"/>
      <c r="N101" s="198"/>
      <c r="O101" s="219"/>
      <c r="Q101" s="192"/>
      <c r="R101" s="192"/>
    </row>
    <row r="102" spans="2:23" s="187" customFormat="1" ht="25.5" customHeight="1">
      <c r="B102" s="482" t="s">
        <v>9</v>
      </c>
      <c r="C102" s="12" t="s">
        <v>75</v>
      </c>
      <c r="D102" s="702" t="s">
        <v>76</v>
      </c>
      <c r="E102" s="702"/>
      <c r="F102" s="702"/>
      <c r="G102" s="702"/>
      <c r="H102" s="702"/>
      <c r="I102" s="702"/>
      <c r="J102" s="702"/>
      <c r="K102" s="702"/>
      <c r="L102" s="588"/>
      <c r="M102" s="64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50">
        <f>S3_storage.50_EUR</f>
        <v>34.300000000000004</v>
      </c>
      <c r="E103" s="750"/>
      <c r="F103" s="714"/>
      <c r="G103" s="714"/>
      <c r="H103" s="714"/>
      <c r="I103" s="714"/>
      <c r="J103" s="714"/>
      <c r="K103" s="714"/>
      <c r="L103" s="591"/>
      <c r="M103" s="649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53">
        <f>S3_storage.100_EUR</f>
        <v>26.46</v>
      </c>
      <c r="E104" s="753"/>
      <c r="F104" s="715"/>
      <c r="G104" s="715"/>
      <c r="H104" s="715"/>
      <c r="I104" s="715"/>
      <c r="J104" s="715"/>
      <c r="K104" s="715"/>
      <c r="L104" s="585"/>
      <c r="M104" s="650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52">
        <f>S3_storage.500_EUR</f>
        <v>19.600000000000001</v>
      </c>
      <c r="E105" s="752"/>
      <c r="F105" s="716"/>
      <c r="G105" s="716"/>
      <c r="H105" s="716"/>
      <c r="I105" s="716"/>
      <c r="J105" s="716"/>
      <c r="K105" s="716"/>
      <c r="L105" s="590"/>
      <c r="M105" s="651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53">
        <f>S3_storage.1000_EUR</f>
        <v>18.13</v>
      </c>
      <c r="E106" s="753"/>
      <c r="F106" s="715"/>
      <c r="G106" s="715"/>
      <c r="H106" s="715"/>
      <c r="I106" s="715"/>
      <c r="J106" s="715"/>
      <c r="K106" s="715"/>
      <c r="L106" s="585"/>
      <c r="M106" s="650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S3_storage.quote_EUR</f>
        <v>Request a quote</v>
      </c>
      <c r="E107" s="717"/>
      <c r="F107" s="717"/>
      <c r="G107" s="717"/>
      <c r="H107" s="717"/>
      <c r="I107" s="717"/>
      <c r="J107" s="717"/>
      <c r="K107" s="717"/>
      <c r="L107" s="587"/>
      <c r="M107" s="652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1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631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9</v>
      </c>
      <c r="C110" s="26"/>
      <c r="D110" s="26"/>
      <c r="E110" s="138"/>
      <c r="F110" s="138" t="s">
        <v>83</v>
      </c>
      <c r="G110" s="284"/>
      <c r="H110" s="285" t="s">
        <v>75</v>
      </c>
      <c r="I110" s="284"/>
      <c r="J110" s="284"/>
      <c r="K110" s="284"/>
      <c r="L110" s="284"/>
      <c r="M110" s="644" t="s">
        <v>84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84"/>
      <c r="E111" s="473"/>
      <c r="F111" s="681" cm="1">
        <f t="array" ref="F111">_xlfn.IFS(H111&lt;51,D103,H111&lt;101,D104,H111&lt;501,D105,H111&lt;1001,D106,H111&gt;1000,D107)</f>
        <v>34.300000000000004</v>
      </c>
      <c r="G111" s="682"/>
      <c r="H111" s="318"/>
      <c r="I111" s="319" t="s">
        <v>85</v>
      </c>
      <c r="J111" s="320"/>
      <c r="K111" s="320"/>
      <c r="L111" s="320"/>
      <c r="M111" s="653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408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64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7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7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7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63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63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630"/>
      <c r="N118" s="190"/>
      <c r="O118" s="191"/>
    </row>
    <row r="119" spans="1:34" s="187" customFormat="1" ht="25.5" customHeight="1">
      <c r="B119" s="701" t="s">
        <v>88</v>
      </c>
      <c r="C119" s="701"/>
      <c r="D119" s="701"/>
      <c r="E119" s="701"/>
      <c r="F119" s="701"/>
      <c r="H119" s="188"/>
      <c r="J119" s="189"/>
      <c r="K119" s="189"/>
      <c r="L119" s="189"/>
      <c r="M119" s="630"/>
      <c r="N119" s="190"/>
      <c r="O119" s="199"/>
    </row>
    <row r="120" spans="1:34" s="187" customFormat="1" ht="25.5" customHeight="1">
      <c r="B120" s="754" t="s">
        <v>6</v>
      </c>
      <c r="C120" s="754"/>
      <c r="D120" s="754"/>
      <c r="E120" s="754"/>
      <c r="F120" s="754"/>
      <c r="G120" s="194"/>
      <c r="H120" s="195"/>
      <c r="I120" s="194"/>
      <c r="J120" s="196"/>
      <c r="K120" s="197"/>
      <c r="L120" s="197"/>
      <c r="M120" s="631"/>
      <c r="N120" s="198"/>
      <c r="O120" s="199"/>
    </row>
    <row r="121" spans="1:34" s="201" customFormat="1" ht="25.5" customHeight="1">
      <c r="B121" s="8" t="s">
        <v>7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631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3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9</v>
      </c>
      <c r="C123" s="755" t="s">
        <v>89</v>
      </c>
      <c r="D123" s="755"/>
      <c r="E123" s="138"/>
      <c r="F123" s="702" t="s">
        <v>90</v>
      </c>
      <c r="G123" s="702"/>
      <c r="H123" s="285" t="s">
        <v>91</v>
      </c>
      <c r="I123" s="284"/>
      <c r="J123" s="711" t="s">
        <v>92</v>
      </c>
      <c r="K123" s="711"/>
      <c r="L123" s="586"/>
      <c r="M123" s="644" t="s">
        <v>93</v>
      </c>
      <c r="N123" s="271"/>
      <c r="O123" s="205"/>
    </row>
    <row r="124" spans="1:34" ht="25.5" customHeight="1">
      <c r="A124" s="328"/>
      <c r="B124" s="756" t="s">
        <v>94</v>
      </c>
      <c r="C124" s="756"/>
      <c r="D124" s="511" t="s">
        <v>95</v>
      </c>
      <c r="E124" s="31"/>
      <c r="F124" s="757">
        <f>BAAS_on.demand_EUR</f>
        <v>0.24010000000000004</v>
      </c>
      <c r="G124" s="758"/>
      <c r="H124" s="329">
        <v>0</v>
      </c>
      <c r="I124" s="291" t="s">
        <v>69</v>
      </c>
      <c r="J124" s="687" t="s">
        <v>95</v>
      </c>
      <c r="K124" s="687"/>
      <c r="L124" s="330"/>
      <c r="M124" s="645">
        <f>ROUNDUP(H124*F124,2)</f>
        <v>0</v>
      </c>
      <c r="N124" s="271"/>
      <c r="O124" s="205"/>
    </row>
    <row r="125" spans="1:34" ht="25.5" customHeight="1">
      <c r="A125" s="328"/>
      <c r="B125" s="759" t="s">
        <v>96</v>
      </c>
      <c r="C125" s="759"/>
      <c r="D125" s="512">
        <f>BAAS_small.fee_EUR</f>
        <v>539</v>
      </c>
      <c r="E125" s="34"/>
      <c r="F125" s="760">
        <f>BAAS_small_EUR</f>
        <v>0.17150000000000001</v>
      </c>
      <c r="G125" s="761"/>
      <c r="H125" s="331">
        <v>0</v>
      </c>
      <c r="I125" s="295" t="s">
        <v>69</v>
      </c>
      <c r="J125" s="696">
        <v>0.75</v>
      </c>
      <c r="K125" s="697"/>
      <c r="L125" s="295"/>
      <c r="M125" s="646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762" t="s">
        <v>97</v>
      </c>
      <c r="C126" s="762"/>
      <c r="D126" s="513">
        <f>BAAS_large.fee_EUR</f>
        <v>931</v>
      </c>
      <c r="E126" s="37"/>
      <c r="F126" s="763">
        <f>BAAS_large_EUR</f>
        <v>9.0160000000000004E-2</v>
      </c>
      <c r="G126" s="764"/>
      <c r="H126" s="318">
        <v>0</v>
      </c>
      <c r="I126" s="319" t="s">
        <v>69</v>
      </c>
      <c r="J126" s="692">
        <v>0.75</v>
      </c>
      <c r="K126" s="693"/>
      <c r="L126" s="319"/>
      <c r="M126" s="654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408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4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7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765" t="s">
        <v>98</v>
      </c>
      <c r="C129" s="765"/>
      <c r="D129" s="765"/>
      <c r="E129" s="765"/>
      <c r="F129" s="765"/>
      <c r="G129" s="765"/>
      <c r="H129" s="765"/>
      <c r="I129" s="765"/>
      <c r="J129" s="231"/>
      <c r="K129" s="322"/>
      <c r="L129" s="322"/>
      <c r="M129" s="637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765" t="s">
        <v>99</v>
      </c>
      <c r="C130" s="765"/>
      <c r="D130" s="765"/>
      <c r="E130" s="765"/>
      <c r="F130" s="765"/>
      <c r="G130" s="765"/>
      <c r="H130" s="765"/>
      <c r="I130" s="765"/>
      <c r="J130" s="231"/>
      <c r="K130" s="322"/>
      <c r="L130" s="322"/>
      <c r="M130" s="637"/>
      <c r="N130" s="50"/>
      <c r="O130" s="219"/>
      <c r="Q130" s="192"/>
      <c r="R130" s="192"/>
    </row>
    <row r="131" spans="1:34" ht="25.5" customHeight="1">
      <c r="B131" s="765" t="s">
        <v>100</v>
      </c>
      <c r="C131" s="765"/>
      <c r="D131" s="765"/>
      <c r="E131" s="765"/>
      <c r="F131" s="765"/>
      <c r="G131" s="765"/>
      <c r="H131" s="765"/>
      <c r="I131" s="765"/>
      <c r="J131" s="301"/>
      <c r="K131" s="326"/>
      <c r="L131" s="326"/>
      <c r="M131" s="647"/>
      <c r="N131" s="304"/>
      <c r="O131" s="219"/>
      <c r="Q131" s="192"/>
      <c r="R131" s="192"/>
    </row>
    <row r="132" spans="1:34" ht="25.5" customHeight="1">
      <c r="B132" s="765" t="s">
        <v>427</v>
      </c>
      <c r="C132" s="765"/>
      <c r="D132" s="765"/>
      <c r="E132" s="765"/>
      <c r="F132" s="765"/>
      <c r="G132" s="765"/>
      <c r="H132" s="765"/>
      <c r="I132" s="765"/>
      <c r="J132" s="301"/>
      <c r="K132" s="326"/>
      <c r="L132" s="304"/>
      <c r="M132" s="647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7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7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7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7"/>
      <c r="N136" s="201"/>
      <c r="O136" s="219"/>
      <c r="P136" s="192"/>
      <c r="Q136" s="192"/>
    </row>
    <row r="137" spans="1:34" s="187" customFormat="1" ht="25.5" customHeight="1">
      <c r="B137" s="698" t="s">
        <v>101</v>
      </c>
      <c r="C137" s="698"/>
      <c r="D137" s="698"/>
      <c r="E137" s="698"/>
      <c r="F137" s="698"/>
      <c r="G137" s="698"/>
      <c r="H137" s="188"/>
      <c r="J137" s="189"/>
      <c r="K137" s="189"/>
      <c r="M137" s="647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647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647"/>
      <c r="N139" s="201"/>
      <c r="O139" s="219"/>
    </row>
    <row r="140" spans="1:34" s="187" customFormat="1" ht="25.5" customHeight="1">
      <c r="B140" s="754" t="s">
        <v>6</v>
      </c>
      <c r="C140" s="754"/>
      <c r="D140" s="754"/>
      <c r="E140" s="754"/>
      <c r="F140" s="754"/>
      <c r="H140" s="188"/>
      <c r="J140" s="189"/>
      <c r="K140" s="189"/>
      <c r="M140" s="647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647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4"/>
      <c r="I142" s="194"/>
      <c r="J142" s="194"/>
      <c r="K142" s="194"/>
      <c r="L142" s="194"/>
      <c r="M142" s="631"/>
      <c r="N142" s="196"/>
      <c r="O142" s="219"/>
      <c r="P142" s="194"/>
      <c r="Q142" s="198"/>
      <c r="R142" s="304"/>
      <c r="S142" s="201"/>
    </row>
    <row r="143" spans="1:34" s="201" customFormat="1" ht="25.5" customHeight="1">
      <c r="B143" s="449" t="s">
        <v>102</v>
      </c>
      <c r="C143" s="140"/>
      <c r="D143" s="140"/>
      <c r="E143" s="140"/>
      <c r="F143" s="581"/>
      <c r="G143" s="194"/>
      <c r="H143" s="194"/>
      <c r="I143" s="194"/>
      <c r="J143" s="194"/>
      <c r="K143" s="194"/>
      <c r="L143" s="194"/>
      <c r="M143" s="631"/>
      <c r="N143" s="196"/>
      <c r="O143" s="219"/>
      <c r="P143" s="194"/>
      <c r="Q143" s="198"/>
      <c r="R143" s="304"/>
      <c r="U143" s="192"/>
      <c r="V143" s="192"/>
      <c r="W143" s="192"/>
      <c r="X143" s="192"/>
      <c r="Y143" s="192"/>
      <c r="Z143" s="192"/>
    </row>
    <row r="144" spans="1:34" ht="25.5" customHeight="1">
      <c r="B144" s="514" t="s">
        <v>9</v>
      </c>
      <c r="C144" s="25" t="s">
        <v>103</v>
      </c>
      <c r="D144" s="25"/>
      <c r="E144" s="26" t="s">
        <v>64</v>
      </c>
      <c r="F144" s="284"/>
      <c r="G144" s="588"/>
      <c r="H144" s="588"/>
      <c r="I144" s="588"/>
      <c r="J144" s="588"/>
      <c r="K144" s="337" t="s">
        <v>104</v>
      </c>
      <c r="L144" s="719" t="s">
        <v>14</v>
      </c>
      <c r="M144" s="719"/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32" t="s">
        <v>106</v>
      </c>
      <c r="D145" s="136"/>
      <c r="E145" s="41" t="s">
        <v>107</v>
      </c>
      <c r="F145" s="340"/>
      <c r="G145" s="341"/>
      <c r="H145" s="341"/>
      <c r="I145" s="341"/>
      <c r="J145" s="341"/>
      <c r="K145" s="342" t="s">
        <v>108</v>
      </c>
      <c r="L145" s="729">
        <f>NET_publicv4_EUR</f>
        <v>1.96</v>
      </c>
      <c r="M145" s="729"/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40" t="s">
        <v>110</v>
      </c>
      <c r="D146" s="137"/>
      <c r="E146" s="43" t="s">
        <v>107</v>
      </c>
      <c r="F146" s="343"/>
      <c r="G146" s="344"/>
      <c r="H146" s="344"/>
      <c r="I146" s="344"/>
      <c r="J146" s="344"/>
      <c r="K146" s="345" t="s">
        <v>95</v>
      </c>
      <c r="L146" s="747">
        <f>NET_publicv6_EUR</f>
        <v>0</v>
      </c>
      <c r="M146" s="747"/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32" t="s">
        <v>112</v>
      </c>
      <c r="D147" s="136"/>
      <c r="E147" s="155"/>
      <c r="F147" s="346"/>
      <c r="G147" s="341"/>
      <c r="H147" s="341"/>
      <c r="I147" s="341"/>
      <c r="J147" s="341"/>
      <c r="K147" s="342" t="s">
        <v>69</v>
      </c>
      <c r="L147" s="748">
        <f>NET_ingress_EUR</f>
        <v>0</v>
      </c>
      <c r="M147" s="748"/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496" t="s">
        <v>112</v>
      </c>
      <c r="D148" s="137"/>
      <c r="E148" s="43" t="s">
        <v>114</v>
      </c>
      <c r="F148" s="343"/>
      <c r="G148" s="347"/>
      <c r="H148" s="347"/>
      <c r="I148" s="347"/>
      <c r="J148" s="347"/>
      <c r="K148" s="348" t="s">
        <v>69</v>
      </c>
      <c r="L148" s="747">
        <f>NET_egress_EUR</f>
        <v>2.4500000000000001E-2</v>
      </c>
      <c r="M148" s="747"/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32" t="s">
        <v>116</v>
      </c>
      <c r="D149" s="136"/>
      <c r="E149" s="32"/>
      <c r="F149" s="346"/>
      <c r="G149" s="341"/>
      <c r="H149" s="341"/>
      <c r="I149" s="341"/>
      <c r="J149" s="341"/>
      <c r="K149" s="342" t="s">
        <v>117</v>
      </c>
      <c r="L149" s="743" t="str">
        <f>NET_mgn.slb_EUR</f>
        <v>50 € - 100 €</v>
      </c>
      <c r="M149" s="743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40" t="s">
        <v>119</v>
      </c>
      <c r="D150" s="137"/>
      <c r="E150" s="43"/>
      <c r="F150" s="343"/>
      <c r="G150" s="347"/>
      <c r="H150" s="347"/>
      <c r="I150" s="347"/>
      <c r="J150" s="347"/>
      <c r="K150" s="345" t="s">
        <v>95</v>
      </c>
      <c r="L150" s="747">
        <f>NET_rdns_EUR</f>
        <v>0</v>
      </c>
      <c r="M150" s="747"/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32" t="s">
        <v>121</v>
      </c>
      <c r="D151" s="136"/>
      <c r="E151" s="32"/>
      <c r="F151" s="346"/>
      <c r="G151" s="350"/>
      <c r="H151" s="350"/>
      <c r="I151" s="350"/>
      <c r="J151" s="350"/>
      <c r="K151" s="351" t="s">
        <v>95</v>
      </c>
      <c r="L151" s="748" t="str">
        <f>NET_saferoute_EUR</f>
        <v>Request a quote</v>
      </c>
      <c r="M151" s="748"/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40" t="s">
        <v>123</v>
      </c>
      <c r="D152" s="137"/>
      <c r="E152" s="43"/>
      <c r="F152" s="343"/>
      <c r="G152" s="347"/>
      <c r="H152" s="347"/>
      <c r="I152" s="347"/>
      <c r="J152" s="347"/>
      <c r="K152" s="345" t="s">
        <v>95</v>
      </c>
      <c r="L152" s="745">
        <f>NET_byoip_EUR</f>
        <v>0</v>
      </c>
      <c r="M152" s="745"/>
      <c r="O152" s="219"/>
      <c r="P152" s="203"/>
      <c r="Q152" s="168"/>
      <c r="R152" s="304"/>
      <c r="S152" s="201"/>
    </row>
    <row r="153" spans="2:22" ht="40.5" customHeight="1">
      <c r="B153" s="515"/>
      <c r="C153" s="148"/>
      <c r="D153" s="149"/>
      <c r="E153" s="149"/>
      <c r="F153" s="353"/>
      <c r="G153" s="353"/>
      <c r="H153" s="353"/>
      <c r="I153" s="353"/>
      <c r="J153" s="353"/>
      <c r="K153" s="352"/>
      <c r="L153" s="746"/>
      <c r="M153" s="746"/>
      <c r="O153" s="219"/>
      <c r="P153" s="203"/>
      <c r="Q153" s="168"/>
      <c r="R153" s="304"/>
      <c r="S153" s="201"/>
    </row>
    <row r="154" spans="2:22" ht="25.5" customHeight="1">
      <c r="B154" s="449" t="s">
        <v>124</v>
      </c>
      <c r="C154" s="15"/>
      <c r="D154" s="15"/>
      <c r="E154" s="15"/>
      <c r="F154" s="212"/>
      <c r="G154" s="212"/>
      <c r="H154" s="212"/>
      <c r="I154" s="212"/>
      <c r="J154" s="212"/>
      <c r="K154" s="354"/>
      <c r="L154" s="728"/>
      <c r="M154" s="728"/>
      <c r="N154" s="168"/>
      <c r="O154" s="219"/>
      <c r="P154" s="168"/>
      <c r="Q154" s="349"/>
      <c r="R154" s="304"/>
      <c r="S154" s="201"/>
    </row>
    <row r="155" spans="2:22" ht="25.5" customHeight="1">
      <c r="B155" s="514" t="s">
        <v>9</v>
      </c>
      <c r="C155" s="25"/>
      <c r="D155" s="26"/>
      <c r="E155" s="26" t="s">
        <v>64</v>
      </c>
      <c r="F155" s="284"/>
      <c r="G155" s="588"/>
      <c r="H155" s="588"/>
      <c r="I155" s="588"/>
      <c r="J155" s="588"/>
      <c r="K155" s="337" t="s">
        <v>104</v>
      </c>
      <c r="L155" s="719" t="s">
        <v>14</v>
      </c>
      <c r="M155" s="719"/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1"/>
      <c r="H156" s="341"/>
      <c r="I156" s="341"/>
      <c r="J156" s="341"/>
      <c r="K156" s="342" t="s">
        <v>10</v>
      </c>
      <c r="L156" s="729">
        <f>SW_win.ser.201X_EUR</f>
        <v>7.6440000000000001</v>
      </c>
      <c r="M156" s="729"/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4"/>
      <c r="H157" s="344"/>
      <c r="I157" s="344"/>
      <c r="J157" s="344"/>
      <c r="K157" s="348" t="s">
        <v>10</v>
      </c>
      <c r="L157" s="742">
        <f>SW_win.ser.201X_EUR</f>
        <v>7.6440000000000001</v>
      </c>
      <c r="M157" s="742"/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426</v>
      </c>
      <c r="F158" s="340"/>
      <c r="G158" s="341"/>
      <c r="H158" s="341"/>
      <c r="I158" s="341"/>
      <c r="J158" s="341"/>
      <c r="K158" s="342" t="s">
        <v>10</v>
      </c>
      <c r="L158" s="743">
        <f>SW_ms.sql.ser_EUR</f>
        <v>146.804</v>
      </c>
      <c r="M158" s="743"/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4"/>
      <c r="H159" s="344"/>
      <c r="I159" s="344"/>
      <c r="J159" s="344"/>
      <c r="K159" s="348" t="s">
        <v>117</v>
      </c>
      <c r="L159" s="744" t="str">
        <f>SW_stackn_EUR</f>
        <v>Request a quote</v>
      </c>
      <c r="M159" s="744"/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1"/>
      <c r="H160" s="341"/>
      <c r="I160" s="341"/>
      <c r="J160" s="341"/>
      <c r="K160" s="351" t="s">
        <v>95</v>
      </c>
      <c r="L160" s="739" t="str">
        <f>SW_nextcloud_EUR</f>
        <v>Request a quote</v>
      </c>
      <c r="M160" s="739"/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4"/>
      <c r="H161" s="344"/>
      <c r="I161" s="344"/>
      <c r="J161" s="344"/>
      <c r="K161" s="345" t="s">
        <v>95</v>
      </c>
      <c r="L161" s="744" t="str">
        <f>SW_suse_EUR</f>
        <v>Request a quote</v>
      </c>
      <c r="M161" s="744"/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1"/>
      <c r="H162" s="341"/>
      <c r="I162" s="341"/>
      <c r="J162" s="341"/>
      <c r="K162" s="463" t="s">
        <v>117</v>
      </c>
      <c r="L162" s="739" t="str">
        <f>SW_cluster.control_EUR</f>
        <v>3x instance price</v>
      </c>
      <c r="M162" s="739"/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4"/>
      <c r="H163" s="344"/>
      <c r="I163" s="344"/>
      <c r="J163" s="344"/>
      <c r="K163" s="348" t="s">
        <v>141</v>
      </c>
      <c r="L163" s="740">
        <f>SW_backup.ninja_EUR</f>
        <v>39.200000000000003</v>
      </c>
      <c r="M163" s="740"/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7"/>
      <c r="F164" s="358"/>
      <c r="G164" s="359"/>
      <c r="H164" s="359"/>
      <c r="I164" s="359"/>
      <c r="J164" s="359"/>
      <c r="K164" s="360"/>
      <c r="L164" s="726"/>
      <c r="M164" s="726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362"/>
      <c r="L165" s="741"/>
      <c r="M165" s="741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142</v>
      </c>
      <c r="C166" s="15"/>
      <c r="D166" s="15"/>
      <c r="E166" s="15"/>
      <c r="F166" s="212"/>
      <c r="G166" s="212"/>
      <c r="H166" s="212"/>
      <c r="I166" s="212"/>
      <c r="J166" s="212"/>
      <c r="K166" s="354"/>
      <c r="L166" s="728"/>
      <c r="M166" s="728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9</v>
      </c>
      <c r="C167" s="25"/>
      <c r="D167" s="26"/>
      <c r="E167" s="26" t="s">
        <v>64</v>
      </c>
      <c r="F167" s="284"/>
      <c r="G167" s="588"/>
      <c r="H167" s="588"/>
      <c r="I167" s="588"/>
      <c r="J167" s="588"/>
      <c r="K167" s="337" t="s">
        <v>104</v>
      </c>
      <c r="L167" s="719" t="s">
        <v>14</v>
      </c>
      <c r="M167" s="719"/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1"/>
      <c r="H168" s="341"/>
      <c r="I168" s="341"/>
      <c r="J168" s="341"/>
      <c r="K168" s="342"/>
      <c r="L168" s="737">
        <f>PAAS_man.kubernetes24_EUR</f>
        <v>2352</v>
      </c>
      <c r="M168" s="737"/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4"/>
      <c r="H169" s="344"/>
      <c r="I169" s="344"/>
      <c r="J169" s="344"/>
      <c r="K169" s="348"/>
      <c r="L169" s="738">
        <f>PAAS_man.kubernetes8_EUR</f>
        <v>1470</v>
      </c>
      <c r="M169" s="738"/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145</v>
      </c>
      <c r="F170" s="340"/>
      <c r="G170" s="341"/>
      <c r="H170" s="341"/>
      <c r="I170" s="341"/>
      <c r="J170" s="341"/>
      <c r="K170" s="342" t="s">
        <v>117</v>
      </c>
      <c r="L170" s="733" t="str">
        <f>PAAS_man.elasticsearch_EUR</f>
        <v>Request a quote</v>
      </c>
      <c r="M170" s="733"/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4"/>
      <c r="H171" s="344"/>
      <c r="I171" s="344"/>
      <c r="J171" s="344"/>
      <c r="K171" s="348" t="s">
        <v>148</v>
      </c>
      <c r="L171" s="738" t="str">
        <f>PAAS_man.redis_EUR</f>
        <v>Request a quote</v>
      </c>
      <c r="M171" s="738"/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1"/>
      <c r="H172" s="341"/>
      <c r="I172" s="341"/>
      <c r="J172" s="341"/>
      <c r="K172" s="342" t="s">
        <v>151</v>
      </c>
      <c r="L172" s="733" t="str">
        <f>PAAS_man.nats_EUR</f>
        <v>Request a quote</v>
      </c>
      <c r="M172" s="733"/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4"/>
      <c r="H173" s="344"/>
      <c r="I173" s="344"/>
      <c r="J173" s="344"/>
      <c r="K173" s="348" t="s">
        <v>143</v>
      </c>
      <c r="L173" s="734" t="str">
        <f>PAAS_man.mariadb_EUR</f>
        <v>Request a quote</v>
      </c>
      <c r="M173" s="734"/>
      <c r="N173" s="168"/>
      <c r="O173" s="219"/>
      <c r="P173" s="168"/>
      <c r="Q173" s="349"/>
      <c r="R173" s="304"/>
      <c r="S173" s="201"/>
    </row>
    <row r="174" spans="2:19" ht="25.5" customHeight="1">
      <c r="B174" s="109"/>
      <c r="C174" s="106"/>
      <c r="D174" s="430"/>
      <c r="E174" s="108"/>
      <c r="F174" s="358"/>
      <c r="G174" s="359"/>
      <c r="H174" s="359"/>
      <c r="I174" s="359"/>
      <c r="J174" s="359"/>
      <c r="K174" s="360"/>
      <c r="L174" s="726"/>
      <c r="M174" s="726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K175" s="168"/>
      <c r="L175" s="735"/>
      <c r="M175" s="735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04"/>
      <c r="L176" s="736"/>
      <c r="M176" s="736"/>
      <c r="N176" s="201"/>
      <c r="O176" s="219"/>
      <c r="P176" s="192"/>
      <c r="Q176" s="192"/>
    </row>
    <row r="177" spans="2:17" s="187" customFormat="1" ht="25.5" customHeight="1">
      <c r="B177" s="698" t="s">
        <v>154</v>
      </c>
      <c r="C177" s="698"/>
      <c r="D177" s="698"/>
      <c r="E177" s="698"/>
      <c r="F177" s="698"/>
      <c r="G177" s="698"/>
      <c r="H177" s="363"/>
      <c r="J177" s="189"/>
      <c r="L177" s="768"/>
      <c r="M177" s="768"/>
      <c r="N177" s="201"/>
      <c r="O177" s="219"/>
    </row>
    <row r="178" spans="2:17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L178" s="768"/>
      <c r="M178" s="768"/>
      <c r="N178" s="201"/>
      <c r="O178" s="219"/>
    </row>
    <row r="179" spans="2:17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L179" s="768"/>
      <c r="M179" s="768"/>
      <c r="N179" s="201"/>
      <c r="O179" s="219"/>
    </row>
    <row r="180" spans="2:17" s="187" customFormat="1" ht="25.5" customHeight="1">
      <c r="B180" s="754" t="s">
        <v>6</v>
      </c>
      <c r="C180" s="754"/>
      <c r="D180" s="754"/>
      <c r="E180" s="754"/>
      <c r="F180" s="754"/>
      <c r="H180" s="363"/>
      <c r="J180" s="189"/>
      <c r="L180" s="768"/>
      <c r="M180" s="768"/>
      <c r="N180" s="201"/>
      <c r="O180" s="219"/>
    </row>
    <row r="181" spans="2:17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4"/>
      <c r="L181" s="769"/>
      <c r="M181" s="769"/>
      <c r="N181" s="201"/>
      <c r="O181" s="219"/>
    </row>
    <row r="182" spans="2:17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4"/>
      <c r="L182" s="769"/>
      <c r="M182" s="769"/>
      <c r="N182" s="201"/>
      <c r="O182" s="219"/>
    </row>
    <row r="183" spans="2:17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770"/>
      <c r="M183" s="770"/>
      <c r="N183" s="201"/>
      <c r="O183" s="219"/>
      <c r="P183" s="192"/>
      <c r="Q183" s="192"/>
    </row>
    <row r="184" spans="2:17" ht="25.5" customHeight="1">
      <c r="B184" s="25" t="s">
        <v>9</v>
      </c>
      <c r="C184" s="25"/>
      <c r="D184" s="25"/>
      <c r="E184" s="26" t="s">
        <v>64</v>
      </c>
      <c r="F184" s="284"/>
      <c r="G184" s="588"/>
      <c r="H184" s="588"/>
      <c r="I184" s="588"/>
      <c r="J184" s="588"/>
      <c r="K184" s="337" t="s">
        <v>104</v>
      </c>
      <c r="L184" s="719" t="s">
        <v>14</v>
      </c>
      <c r="M184" s="719"/>
      <c r="N184" s="201"/>
      <c r="O184" s="219"/>
      <c r="P184" s="192"/>
      <c r="Q184" s="192"/>
    </row>
    <row r="185" spans="2:17" ht="25.5" customHeight="1">
      <c r="B185" s="141" t="s">
        <v>156</v>
      </c>
      <c r="C185" s="136"/>
      <c r="D185" s="136"/>
      <c r="E185" s="32" t="s">
        <v>157</v>
      </c>
      <c r="F185" s="340"/>
      <c r="G185" s="341"/>
      <c r="H185" s="341"/>
      <c r="I185" s="341"/>
      <c r="J185" s="341"/>
      <c r="K185" s="351" t="s">
        <v>95</v>
      </c>
      <c r="L185" s="720">
        <v>0</v>
      </c>
      <c r="M185" s="720"/>
      <c r="N185" s="201"/>
      <c r="O185" s="219"/>
      <c r="P185" s="192"/>
      <c r="Q185" s="192"/>
    </row>
    <row r="186" spans="2:17" ht="25.5" customHeight="1">
      <c r="B186" s="144" t="s">
        <v>158</v>
      </c>
      <c r="C186" s="137"/>
      <c r="D186" s="137"/>
      <c r="E186" s="40" t="s">
        <v>159</v>
      </c>
      <c r="F186" s="343"/>
      <c r="G186" s="344"/>
      <c r="H186" s="344"/>
      <c r="I186" s="344"/>
      <c r="J186" s="344"/>
      <c r="K186" s="348" t="s">
        <v>160</v>
      </c>
      <c r="L186" s="731" t="s">
        <v>161</v>
      </c>
      <c r="M186" s="731"/>
      <c r="N186" s="201"/>
      <c r="O186" s="219"/>
      <c r="P186" s="192"/>
      <c r="Q186" s="192"/>
    </row>
    <row r="187" spans="2:17" ht="25.5" customHeight="1">
      <c r="B187" s="141" t="s">
        <v>162</v>
      </c>
      <c r="C187" s="136"/>
      <c r="D187" s="136"/>
      <c r="E187" s="32" t="s">
        <v>163</v>
      </c>
      <c r="F187" s="340"/>
      <c r="G187" s="341"/>
      <c r="H187" s="341"/>
      <c r="I187" s="341"/>
      <c r="J187" s="341"/>
      <c r="K187" s="342" t="s">
        <v>164</v>
      </c>
      <c r="L187" s="732" t="s">
        <v>165</v>
      </c>
      <c r="M187" s="732"/>
      <c r="N187" s="201"/>
      <c r="O187" s="219"/>
      <c r="P187" s="192"/>
      <c r="Q187" s="192"/>
    </row>
    <row r="188" spans="2:17" ht="25.5" customHeight="1">
      <c r="B188" s="109"/>
      <c r="C188" s="106"/>
      <c r="D188" s="106"/>
      <c r="E188" s="430" t="s">
        <v>166</v>
      </c>
      <c r="F188" s="358"/>
      <c r="G188" s="359"/>
      <c r="H188" s="359"/>
      <c r="I188" s="359"/>
      <c r="J188" s="359"/>
      <c r="K188" s="360"/>
      <c r="L188" s="726"/>
      <c r="M188" s="726"/>
      <c r="N188" s="201"/>
      <c r="O188" s="219"/>
      <c r="P188" s="192"/>
      <c r="Q188" s="192"/>
    </row>
    <row r="189" spans="2:17" ht="25.5" customHeight="1">
      <c r="B189" s="144"/>
      <c r="C189" s="137"/>
      <c r="D189" s="137"/>
      <c r="E189" s="40"/>
      <c r="F189" s="343"/>
      <c r="G189" s="344"/>
      <c r="H189" s="344"/>
      <c r="I189" s="344"/>
      <c r="J189" s="344"/>
      <c r="K189" s="348"/>
      <c r="L189" s="727"/>
      <c r="M189" s="727"/>
      <c r="N189" s="201"/>
      <c r="O189" s="219"/>
      <c r="P189" s="192"/>
      <c r="Q189" s="192"/>
    </row>
    <row r="190" spans="2:17" ht="25.5" customHeight="1">
      <c r="B190" s="449" t="s">
        <v>167</v>
      </c>
      <c r="C190" s="15"/>
      <c r="D190" s="15"/>
      <c r="E190" s="15"/>
      <c r="F190" s="212"/>
      <c r="G190" s="212"/>
      <c r="H190" s="212"/>
      <c r="I190" s="212"/>
      <c r="J190" s="212"/>
      <c r="K190" s="354"/>
      <c r="L190" s="728"/>
      <c r="M190" s="728"/>
      <c r="N190" s="201"/>
      <c r="O190" s="219"/>
      <c r="P190" s="192"/>
      <c r="Q190" s="192"/>
    </row>
    <row r="191" spans="2:17" ht="25.5" customHeight="1">
      <c r="B191" s="514" t="s">
        <v>9</v>
      </c>
      <c r="C191" s="25"/>
      <c r="D191" s="25"/>
      <c r="E191" s="26" t="s">
        <v>64</v>
      </c>
      <c r="F191" s="284"/>
      <c r="G191" s="588"/>
      <c r="H191" s="588"/>
      <c r="I191" s="588"/>
      <c r="J191" s="588"/>
      <c r="K191" s="337" t="s">
        <v>104</v>
      </c>
      <c r="L191" s="719" t="s">
        <v>14</v>
      </c>
      <c r="M191" s="719"/>
      <c r="N191" s="201"/>
      <c r="O191" s="219"/>
      <c r="P191" s="192"/>
      <c r="Q191" s="192"/>
    </row>
    <row r="192" spans="2:17" ht="25.5" customHeight="1">
      <c r="B192" s="141" t="s">
        <v>168</v>
      </c>
      <c r="C192" s="136"/>
      <c r="D192" s="136"/>
      <c r="E192" s="32" t="s">
        <v>169</v>
      </c>
      <c r="F192" s="340"/>
      <c r="G192" s="341"/>
      <c r="H192" s="341"/>
      <c r="I192" s="341"/>
      <c r="J192" s="341"/>
      <c r="K192" s="342" t="s">
        <v>164</v>
      </c>
      <c r="L192" s="729">
        <f>PS_consult.jun_EUR</f>
        <v>110.446</v>
      </c>
      <c r="M192" s="729"/>
      <c r="N192" s="201"/>
      <c r="O192" s="219"/>
      <c r="P192" s="192"/>
      <c r="Q192" s="192"/>
    </row>
    <row r="193" spans="1:17" ht="25.5" customHeight="1">
      <c r="B193" s="144" t="s">
        <v>170</v>
      </c>
      <c r="C193" s="137"/>
      <c r="D193" s="137"/>
      <c r="E193" s="40" t="s">
        <v>171</v>
      </c>
      <c r="F193" s="343"/>
      <c r="G193" s="344"/>
      <c r="H193" s="344"/>
      <c r="I193" s="344"/>
      <c r="J193" s="344"/>
      <c r="K193" s="348" t="s">
        <v>164</v>
      </c>
      <c r="L193" s="730">
        <f>PS_consult.sen_EUR</f>
        <v>134.65200000000002</v>
      </c>
      <c r="M193" s="730"/>
      <c r="N193" s="201"/>
      <c r="O193" s="219"/>
      <c r="P193" s="192"/>
      <c r="Q193" s="192"/>
    </row>
    <row r="194" spans="1:17" ht="25.5" customHeight="1">
      <c r="B194" s="141" t="s">
        <v>172</v>
      </c>
      <c r="C194" s="136"/>
      <c r="D194" s="136"/>
      <c r="E194" s="32" t="s">
        <v>173</v>
      </c>
      <c r="F194" s="340"/>
      <c r="G194" s="341"/>
      <c r="H194" s="341"/>
      <c r="I194" s="341"/>
      <c r="J194" s="341"/>
      <c r="K194" s="342" t="s">
        <v>164</v>
      </c>
      <c r="L194" s="724">
        <f>PS_cloudarch.jun_EUR</f>
        <v>125.146</v>
      </c>
      <c r="M194" s="724"/>
      <c r="N194" s="201"/>
      <c r="O194" s="219"/>
      <c r="P194" s="192"/>
      <c r="Q194" s="192"/>
    </row>
    <row r="195" spans="1:17" ht="25.5" customHeight="1">
      <c r="B195" s="144" t="s">
        <v>174</v>
      </c>
      <c r="C195" s="137"/>
      <c r="D195" s="137"/>
      <c r="E195" s="40" t="s">
        <v>175</v>
      </c>
      <c r="F195" s="357"/>
      <c r="G195" s="344"/>
      <c r="H195" s="344"/>
      <c r="I195" s="344"/>
      <c r="J195" s="344"/>
      <c r="K195" s="348" t="s">
        <v>164</v>
      </c>
      <c r="L195" s="730">
        <f>PS_cloudarch.sen_EUR</f>
        <v>134.65200000000002</v>
      </c>
      <c r="M195" s="730"/>
      <c r="N195" s="201"/>
      <c r="O195" s="219"/>
      <c r="P195" s="192"/>
      <c r="Q195" s="192"/>
    </row>
    <row r="196" spans="1:17" ht="25.5" customHeight="1">
      <c r="B196" s="141" t="s">
        <v>176</v>
      </c>
      <c r="C196" s="136"/>
      <c r="D196" s="136"/>
      <c r="E196" s="32" t="s">
        <v>177</v>
      </c>
      <c r="F196" s="340"/>
      <c r="G196" s="341"/>
      <c r="H196" s="341"/>
      <c r="I196" s="341"/>
      <c r="J196" s="341"/>
      <c r="K196" s="342" t="s">
        <v>164</v>
      </c>
      <c r="L196" s="724">
        <f>PS_pm.jun_EUR</f>
        <v>111.622</v>
      </c>
      <c r="M196" s="724"/>
      <c r="N196" s="201"/>
      <c r="O196" s="219"/>
      <c r="P196" s="192"/>
      <c r="Q196" s="192"/>
    </row>
    <row r="197" spans="1:17" ht="25.5" customHeight="1">
      <c r="B197" s="144" t="s">
        <v>178</v>
      </c>
      <c r="C197" s="137"/>
      <c r="D197" s="137"/>
      <c r="E197" s="40" t="s">
        <v>179</v>
      </c>
      <c r="F197" s="343"/>
      <c r="G197" s="344"/>
      <c r="H197" s="344"/>
      <c r="I197" s="344"/>
      <c r="J197" s="344"/>
      <c r="K197" s="348" t="s">
        <v>164</v>
      </c>
      <c r="L197" s="725">
        <f>PS_pm.sen_EUR</f>
        <v>134.65200000000002</v>
      </c>
      <c r="M197" s="725"/>
      <c r="N197" s="201"/>
      <c r="O197" s="219"/>
      <c r="P197" s="192"/>
      <c r="Q197" s="192"/>
    </row>
    <row r="198" spans="1:17" ht="25.5" customHeight="1">
      <c r="B198" s="109"/>
      <c r="C198" s="106"/>
      <c r="D198" s="106"/>
      <c r="E198" s="430"/>
      <c r="F198" s="358"/>
      <c r="G198" s="359"/>
      <c r="H198" s="359"/>
      <c r="I198" s="359"/>
      <c r="J198" s="359"/>
      <c r="K198" s="360"/>
      <c r="L198" s="726"/>
      <c r="M198" s="726"/>
      <c r="N198" s="201"/>
      <c r="O198" s="219"/>
      <c r="P198" s="192"/>
      <c r="Q198" s="192"/>
    </row>
    <row r="199" spans="1:17" ht="25.5" customHeight="1">
      <c r="B199" s="144"/>
      <c r="C199" s="137"/>
      <c r="D199" s="137"/>
      <c r="E199" s="40"/>
      <c r="F199" s="343"/>
      <c r="G199" s="344"/>
      <c r="H199" s="344"/>
      <c r="I199" s="344"/>
      <c r="J199" s="344"/>
      <c r="K199" s="348"/>
      <c r="L199" s="727"/>
      <c r="M199" s="727"/>
      <c r="N199" s="201"/>
      <c r="O199" s="219"/>
    </row>
    <row r="200" spans="1:17" ht="25.5" customHeight="1">
      <c r="B200" s="449" t="s">
        <v>180</v>
      </c>
      <c r="C200" s="15"/>
      <c r="D200" s="15"/>
      <c r="E200" s="15"/>
      <c r="F200" s="212"/>
      <c r="G200" s="212"/>
      <c r="H200" s="212"/>
      <c r="I200" s="212"/>
      <c r="J200" s="212"/>
      <c r="K200" s="354"/>
      <c r="L200" s="728"/>
      <c r="M200" s="728"/>
      <c r="N200" s="201"/>
      <c r="O200" s="219"/>
      <c r="P200" s="192"/>
      <c r="Q200" s="192"/>
    </row>
    <row r="201" spans="1:17" ht="25.5" customHeight="1">
      <c r="B201" s="514" t="s">
        <v>9</v>
      </c>
      <c r="C201" s="337" t="s">
        <v>181</v>
      </c>
      <c r="D201" s="337"/>
      <c r="E201" s="26" t="s">
        <v>64</v>
      </c>
      <c r="F201" s="284"/>
      <c r="G201" s="337"/>
      <c r="H201" s="337"/>
      <c r="I201" s="337"/>
      <c r="J201" s="337"/>
      <c r="K201" s="337" t="s">
        <v>104</v>
      </c>
      <c r="L201" s="719" t="s">
        <v>182</v>
      </c>
      <c r="M201" s="719"/>
      <c r="N201" s="201"/>
      <c r="O201" s="219"/>
      <c r="P201" s="192"/>
      <c r="Q201" s="192"/>
    </row>
    <row r="202" spans="1:17" ht="25.5" customHeight="1">
      <c r="B202" s="141" t="s">
        <v>183</v>
      </c>
      <c r="C202" s="342" t="s">
        <v>184</v>
      </c>
      <c r="D202" s="342"/>
      <c r="E202" s="32" t="s">
        <v>185</v>
      </c>
      <c r="F202" s="340"/>
      <c r="G202" s="342"/>
      <c r="H202" s="342"/>
      <c r="I202" s="342"/>
      <c r="J202" s="342"/>
      <c r="K202" s="342" t="s">
        <v>186</v>
      </c>
      <c r="L202" s="720" t="s">
        <v>165</v>
      </c>
      <c r="M202" s="720"/>
      <c r="N202" s="201"/>
      <c r="O202" s="219"/>
      <c r="P202" s="192"/>
      <c r="Q202" s="192"/>
    </row>
    <row r="203" spans="1:17" ht="25.5" customHeight="1">
      <c r="B203" s="144" t="s">
        <v>187</v>
      </c>
      <c r="C203" s="348" t="s">
        <v>184</v>
      </c>
      <c r="D203" s="348"/>
      <c r="E203" s="40" t="s">
        <v>188</v>
      </c>
      <c r="F203" s="343"/>
      <c r="G203" s="348"/>
      <c r="H203" s="348"/>
      <c r="I203" s="348"/>
      <c r="J203" s="348"/>
      <c r="K203" s="348" t="s">
        <v>186</v>
      </c>
      <c r="L203" s="721" t="s">
        <v>165</v>
      </c>
      <c r="M203" s="721"/>
      <c r="N203" s="201"/>
      <c r="O203" s="219"/>
      <c r="P203" s="192"/>
      <c r="Q203" s="192"/>
    </row>
    <row r="204" spans="1:17" ht="25.5" customHeight="1">
      <c r="B204" s="141" t="s">
        <v>189</v>
      </c>
      <c r="C204" s="342" t="s">
        <v>190</v>
      </c>
      <c r="D204" s="342"/>
      <c r="E204" s="32" t="s">
        <v>191</v>
      </c>
      <c r="F204" s="340"/>
      <c r="G204" s="342"/>
      <c r="H204" s="342"/>
      <c r="I204" s="342"/>
      <c r="J204" s="342"/>
      <c r="K204" s="342" t="s">
        <v>186</v>
      </c>
      <c r="L204" s="722" t="s">
        <v>165</v>
      </c>
      <c r="M204" s="722"/>
      <c r="N204" s="201"/>
      <c r="O204" s="219"/>
      <c r="P204" s="192"/>
      <c r="Q204" s="192"/>
    </row>
    <row r="205" spans="1:17" ht="25.5" customHeight="1">
      <c r="B205" s="144" t="s">
        <v>192</v>
      </c>
      <c r="C205" s="348" t="s">
        <v>190</v>
      </c>
      <c r="D205" s="348"/>
      <c r="E205" s="40" t="s">
        <v>193</v>
      </c>
      <c r="F205" s="343"/>
      <c r="G205" s="348"/>
      <c r="H205" s="348"/>
      <c r="I205" s="348"/>
      <c r="J205" s="348"/>
      <c r="K205" s="348" t="s">
        <v>186</v>
      </c>
      <c r="L205" s="723" t="s">
        <v>165</v>
      </c>
      <c r="M205" s="723"/>
      <c r="N205" s="201"/>
      <c r="O205" s="219"/>
      <c r="P205" s="192"/>
      <c r="Q205" s="192"/>
    </row>
    <row r="206" spans="1:17" ht="25.5" customHeight="1">
      <c r="B206" s="109"/>
      <c r="C206" s="106"/>
      <c r="D206" s="106"/>
      <c r="E206" s="108"/>
      <c r="F206" s="358"/>
      <c r="G206" s="359"/>
      <c r="H206" s="359"/>
      <c r="I206" s="361"/>
      <c r="J206" s="361"/>
      <c r="K206" s="361"/>
      <c r="L206" s="361"/>
      <c r="M206" s="656"/>
      <c r="N206" s="201"/>
      <c r="O206" s="219"/>
      <c r="P206" s="192"/>
      <c r="Q206" s="192"/>
    </row>
    <row r="207" spans="1:17" ht="25.5" customHeight="1">
      <c r="B207" s="45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647"/>
      <c r="N207" s="201"/>
      <c r="O207" s="219"/>
      <c r="P207" s="192"/>
      <c r="Q207" s="192"/>
    </row>
    <row r="208" spans="1:17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7"/>
      <c r="K208" s="368"/>
      <c r="L208" s="369"/>
      <c r="M208" s="65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4"/>
      <c r="K209" s="375"/>
      <c r="L209" s="375"/>
      <c r="M209" s="660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4"/>
      <c r="K210" s="375"/>
      <c r="L210" s="375"/>
      <c r="M210" s="660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4"/>
      <c r="K211" s="375"/>
      <c r="L211" s="375"/>
      <c r="M211" s="660"/>
      <c r="N211" s="169"/>
      <c r="O211" s="191"/>
    </row>
    <row r="212" spans="1:22" s="187" customFormat="1" ht="25.5" customHeight="1">
      <c r="A212" s="169"/>
      <c r="B212" s="705" t="s">
        <v>194</v>
      </c>
      <c r="C212" s="705"/>
      <c r="D212" s="705"/>
      <c r="E212" s="705"/>
      <c r="F212" s="705"/>
      <c r="G212" s="705"/>
      <c r="H212" s="172"/>
      <c r="I212" s="169"/>
      <c r="J212" s="173"/>
      <c r="K212" s="169"/>
      <c r="L212" s="174"/>
      <c r="M212" s="627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69"/>
      <c r="L213" s="174"/>
      <c r="M213" s="627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69"/>
      <c r="L214" s="174"/>
      <c r="M214" s="627"/>
      <c r="N214" s="169"/>
      <c r="O214" s="191"/>
    </row>
    <row r="215" spans="1:22" s="187" customFormat="1" ht="25.5" customHeight="1">
      <c r="A215" s="169"/>
      <c r="B215" s="766" t="s">
        <v>6</v>
      </c>
      <c r="C215" s="766"/>
      <c r="D215" s="766"/>
      <c r="E215" s="766"/>
      <c r="F215" s="766"/>
      <c r="G215" s="169"/>
      <c r="H215" s="172"/>
      <c r="I215" s="169"/>
      <c r="J215" s="173"/>
      <c r="K215" s="169"/>
      <c r="L215" s="174"/>
      <c r="M215" s="627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627"/>
      <c r="N216" s="376"/>
      <c r="O216" s="199"/>
    </row>
    <row r="217" spans="1:22" s="187" customFormat="1" ht="25.5" customHeight="1">
      <c r="A217" s="169"/>
      <c r="B217" s="455" t="s">
        <v>195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7"/>
      <c r="N217" s="376"/>
      <c r="O217" s="199"/>
    </row>
    <row r="218" spans="1:22" s="187" customFormat="1" ht="25.5" customHeight="1">
      <c r="A218" s="169"/>
      <c r="B218" s="451" t="s">
        <v>2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627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66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66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197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198</v>
      </c>
      <c r="M221" s="662"/>
      <c r="N221" s="388"/>
      <c r="O221" s="205"/>
      <c r="P221" s="336"/>
    </row>
    <row r="222" spans="1:22" ht="25.5" customHeight="1">
      <c r="A222" s="384"/>
      <c r="B222" s="607" t="s">
        <v>199</v>
      </c>
      <c r="C222" s="670" t="str">
        <f>SUM(C38+C67)&amp;" vCPU"</f>
        <v>0 vCPU</v>
      </c>
      <c r="D222" s="670" t="str">
        <f>SUM(D38+D67)&amp;" GB RAM"</f>
        <v>0 GB RAM</v>
      </c>
      <c r="E222" s="670" t="str">
        <f>SUM(E38)&amp;" GB  Disk"</f>
        <v>0 GB  Disk</v>
      </c>
      <c r="F222" s="767" t="str">
        <f>SUM(E67)&amp;" GB NVME-Disk"</f>
        <v>0 GB NVME-Disk</v>
      </c>
      <c r="G222" s="767"/>
      <c r="H222" s="390"/>
      <c r="I222" s="390"/>
      <c r="J222" s="391"/>
      <c r="K222" s="391"/>
      <c r="L222" s="452">
        <f>L76+L84+L67+L38+M91</f>
        <v>0</v>
      </c>
      <c r="M222" s="663"/>
      <c r="N222" s="384"/>
      <c r="O222" s="205"/>
      <c r="P222" s="336"/>
    </row>
    <row r="223" spans="1:22" ht="25.5" customHeight="1">
      <c r="A223" s="384"/>
      <c r="B223" s="608" t="s">
        <v>200</v>
      </c>
      <c r="C223" s="75"/>
      <c r="D223" s="74"/>
      <c r="E223" s="75"/>
      <c r="F223" s="393"/>
      <c r="G223" s="394"/>
      <c r="H223" s="394"/>
      <c r="I223" s="394"/>
      <c r="J223" s="395"/>
      <c r="K223" s="395"/>
      <c r="L223" s="453">
        <f>M112</f>
        <v>0</v>
      </c>
      <c r="M223" s="66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453">
        <f>M127</f>
        <v>0</v>
      </c>
      <c r="M224" s="663"/>
      <c r="N224" s="384"/>
      <c r="O224" s="205"/>
      <c r="P224" s="336"/>
    </row>
    <row r="225" spans="1:23" s="399" customFormat="1" ht="25.5" customHeight="1">
      <c r="A225" s="397"/>
      <c r="B225" s="522" t="s">
        <v>417</v>
      </c>
      <c r="C225" s="522"/>
      <c r="D225" s="35"/>
      <c r="E225" s="36"/>
      <c r="F225" s="333"/>
      <c r="G225" s="597"/>
      <c r="H225" s="597"/>
      <c r="I225" s="597"/>
      <c r="J225" s="319"/>
      <c r="K225" s="319"/>
      <c r="L225" s="447">
        <f>M76+M84+M67+M38</f>
        <v>0</v>
      </c>
      <c r="M225" s="663"/>
      <c r="N225" s="397"/>
      <c r="O225" s="398"/>
    </row>
    <row r="226" spans="1:23" ht="25.5" customHeight="1">
      <c r="A226" s="384"/>
      <c r="B226" s="454" t="s">
        <v>30</v>
      </c>
      <c r="C226" s="61"/>
      <c r="D226" s="61"/>
      <c r="E226" s="61"/>
      <c r="F226" s="400"/>
      <c r="G226" s="401"/>
      <c r="H226" s="401"/>
      <c r="I226" s="401"/>
      <c r="J226" s="625"/>
      <c r="K226" s="625"/>
      <c r="L226" s="625">
        <f>SUM(L222:L225)</f>
        <v>0</v>
      </c>
      <c r="M226" s="664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664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66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665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666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666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666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666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666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666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666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666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666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666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666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666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666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666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666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666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666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666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666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666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666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666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666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666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666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666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666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666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666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666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667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667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667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667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667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667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667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667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667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667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667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667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667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667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667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667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667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667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667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667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667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667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667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667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667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667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667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667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667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667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667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667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667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667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667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667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667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667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667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667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667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667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667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667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667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667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667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667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668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667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667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66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66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66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66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66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66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66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66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66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66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66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66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66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66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66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66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66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66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66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66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66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66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66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66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66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66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66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66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66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66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66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66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66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66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66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66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66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66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66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66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66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66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66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66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66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66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66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66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66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66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66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66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66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66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66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66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66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66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66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66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66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66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66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66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66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66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66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66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66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66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66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66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66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66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66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66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66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66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66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66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66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66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66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66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66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66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66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66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66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66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66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66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66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66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66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66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66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66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66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66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66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66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66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66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66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66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66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66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66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66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66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66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66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66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66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66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66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66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66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66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66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66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66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66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66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66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66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66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66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66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66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66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66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66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66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66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66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66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66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66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66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66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66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66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66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66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66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66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66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66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66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66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66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66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66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66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66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66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66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66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66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66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66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66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66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66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66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66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66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66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66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66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66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66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66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66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66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66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66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66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66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66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66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66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66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66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66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66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66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66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66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66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66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66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66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66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66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66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66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66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66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66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66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66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66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66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66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66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66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66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66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66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66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66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66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66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66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66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66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66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66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66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66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66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66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66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66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66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66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66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66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66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66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66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66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66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66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66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66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66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66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66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66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66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66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66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66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66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66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66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66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66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66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66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66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66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66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66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66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66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66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66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66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66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66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66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66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66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66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66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66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66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66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66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66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66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66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66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66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66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66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66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66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66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66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66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66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66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66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66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66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66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66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66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66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66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66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66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66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66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66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66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669"/>
      <c r="O613" s="428"/>
    </row>
  </sheetData>
  <sheetProtection algorithmName="SHA-512" hashValue="Ue/fALS4DQUD3bcCUKW7xDzHAcRmlgVGtg74Auv0TZ0cHX5TJiUGKsjgNpCD+7Qhn+lgU4QRL9nTt8lPhSAOFw==" saltValue="GFpdNr5uZsnDK91JiBchmw==" spinCount="100000" sheet="1" objects="1" scenarios="1" selectLockedCells="1"/>
  <mergeCells count="127"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B130:I130"/>
    <mergeCell ref="B131:I131"/>
    <mergeCell ref="B132:I132"/>
    <mergeCell ref="B177:G179"/>
    <mergeCell ref="B180:F180"/>
    <mergeCell ref="B181:F181"/>
    <mergeCell ref="B212:G214"/>
    <mergeCell ref="B215:F215"/>
    <mergeCell ref="F222:G222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F89:G89"/>
    <mergeCell ref="H89:I89"/>
    <mergeCell ref="J123:K123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B129:I129"/>
    <mergeCell ref="L157:M157"/>
    <mergeCell ref="L158:M158"/>
    <mergeCell ref="L159:M159"/>
    <mergeCell ref="L160:M160"/>
    <mergeCell ref="L161:M161"/>
    <mergeCell ref="L152:M152"/>
    <mergeCell ref="L153:M153"/>
    <mergeCell ref="L154:M154"/>
    <mergeCell ref="L155:M155"/>
    <mergeCell ref="L156:M156"/>
    <mergeCell ref="L175:M175"/>
    <mergeCell ref="L176:M176"/>
    <mergeCell ref="L167:M167"/>
    <mergeCell ref="L168:M168"/>
    <mergeCell ref="L169:M169"/>
    <mergeCell ref="L170:M170"/>
    <mergeCell ref="L171:M171"/>
    <mergeCell ref="L162:M162"/>
    <mergeCell ref="L163:M163"/>
    <mergeCell ref="L164:M164"/>
    <mergeCell ref="L165:M165"/>
    <mergeCell ref="L166:M166"/>
    <mergeCell ref="D11:F11"/>
    <mergeCell ref="L201:M201"/>
    <mergeCell ref="L202:M202"/>
    <mergeCell ref="L203:M203"/>
    <mergeCell ref="L204:M204"/>
    <mergeCell ref="L205:M205"/>
    <mergeCell ref="L196:M196"/>
    <mergeCell ref="L197:M197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L186:M186"/>
    <mergeCell ref="L187:M187"/>
    <mergeCell ref="L188:M188"/>
    <mergeCell ref="L189:M189"/>
    <mergeCell ref="L190:M190"/>
    <mergeCell ref="L172:M172"/>
    <mergeCell ref="L173:M173"/>
    <mergeCell ref="L174:M174"/>
  </mergeCells>
  <conditionalFormatting sqref="L25:M33 L68:M70 L41:M41 L36:M37">
    <cfRule type="cellIs" dxfId="132" priority="69" operator="greaterThan">
      <formula>0</formula>
    </cfRule>
  </conditionalFormatting>
  <conditionalFormatting sqref="H124 H111 J89:J90 I25:J33 I72:J75 I36:J37">
    <cfRule type="cellIs" dxfId="131" priority="68" operator="greaterThan">
      <formula>0</formula>
    </cfRule>
  </conditionalFormatting>
  <conditionalFormatting sqref="J90">
    <cfRule type="cellIs" dxfId="130" priority="67" operator="greaterThan">
      <formula>0</formula>
    </cfRule>
  </conditionalFormatting>
  <conditionalFormatting sqref="J89">
    <cfRule type="cellIs" dxfId="129" priority="66" operator="greaterThan">
      <formula>0</formula>
    </cfRule>
  </conditionalFormatting>
  <conditionalFormatting sqref="H111">
    <cfRule type="cellIs" dxfId="128" priority="65" operator="greaterThan">
      <formula>0</formula>
    </cfRule>
  </conditionalFormatting>
  <conditionalFormatting sqref="I25:I33 I36:I37">
    <cfRule type="cellIs" dxfId="127" priority="64" operator="lessThan">
      <formula>$J25</formula>
    </cfRule>
  </conditionalFormatting>
  <conditionalFormatting sqref="H126 J126">
    <cfRule type="cellIs" dxfId="126" priority="63" operator="greaterThan">
      <formula>0</formula>
    </cfRule>
  </conditionalFormatting>
  <conditionalFormatting sqref="J126">
    <cfRule type="cellIs" dxfId="125" priority="62" operator="greaterThan">
      <formula>0</formula>
    </cfRule>
  </conditionalFormatting>
  <conditionalFormatting sqref="H125 J125">
    <cfRule type="cellIs" dxfId="124" priority="61" operator="greaterThan">
      <formula>0</formula>
    </cfRule>
  </conditionalFormatting>
  <conditionalFormatting sqref="J125">
    <cfRule type="cellIs" dxfId="123" priority="60" operator="greaterThan">
      <formula>0</formula>
    </cfRule>
  </conditionalFormatting>
  <conditionalFormatting sqref="L72:M72 L74:M74">
    <cfRule type="cellIs" dxfId="122" priority="40" operator="greaterThan">
      <formula>0</formula>
    </cfRule>
  </conditionalFormatting>
  <conditionalFormatting sqref="L73:M73 L75:M75">
    <cfRule type="cellIs" dxfId="121" priority="42" operator="greaterThan">
      <formula>0</formula>
    </cfRule>
  </conditionalFormatting>
  <conditionalFormatting sqref="L73:M73 L75:M75">
    <cfRule type="cellIs" dxfId="120" priority="41" operator="greaterThan">
      <formula>0</formula>
    </cfRule>
  </conditionalFormatting>
  <conditionalFormatting sqref="I81:J83">
    <cfRule type="cellIs" dxfId="119" priority="37" operator="greaterThan">
      <formula>0</formula>
    </cfRule>
  </conditionalFormatting>
  <conditionalFormatting sqref="L82:M82 L81">
    <cfRule type="cellIs" dxfId="118" priority="38" operator="greaterThan">
      <formula>0</formula>
    </cfRule>
  </conditionalFormatting>
  <conditionalFormatting sqref="I81:J83">
    <cfRule type="cellIs" dxfId="117" priority="39" operator="lessThan">
      <formula>$J81</formula>
    </cfRule>
  </conditionalFormatting>
  <conditionalFormatting sqref="L83:M83">
    <cfRule type="cellIs" dxfId="116" priority="36" operator="greaterThan">
      <formula>0</formula>
    </cfRule>
  </conditionalFormatting>
  <conditionalFormatting sqref="I72:I75">
    <cfRule type="cellIs" dxfId="115" priority="27" operator="lessThan">
      <formula>$J72</formula>
    </cfRule>
  </conditionalFormatting>
  <conditionalFormatting sqref="L72:M72 L74:M74">
    <cfRule type="cellIs" dxfId="114" priority="17" operator="greaterThan">
      <formula>0</formula>
    </cfRule>
  </conditionalFormatting>
  <conditionalFormatting sqref="I43:J44">
    <cfRule type="cellIs" dxfId="113" priority="25" operator="greaterThan">
      <formula>0</formula>
    </cfRule>
  </conditionalFormatting>
  <conditionalFormatting sqref="L44:M44">
    <cfRule type="cellIs" dxfId="112" priority="24" operator="greaterThan">
      <formula>0</formula>
    </cfRule>
  </conditionalFormatting>
  <conditionalFormatting sqref="L43:M43">
    <cfRule type="cellIs" dxfId="111" priority="23" operator="greaterThan">
      <formula>0</formula>
    </cfRule>
  </conditionalFormatting>
  <conditionalFormatting sqref="L44:M44">
    <cfRule type="cellIs" dxfId="110" priority="22" operator="greaterThan">
      <formula>0</formula>
    </cfRule>
  </conditionalFormatting>
  <conditionalFormatting sqref="L43:M43">
    <cfRule type="cellIs" dxfId="109" priority="21" operator="greaterThan">
      <formula>0</formula>
    </cfRule>
  </conditionalFormatting>
  <conditionalFormatting sqref="M43:M44">
    <cfRule type="cellIs" dxfId="108" priority="20" operator="greaterThan">
      <formula>0</formula>
    </cfRule>
  </conditionalFormatting>
  <conditionalFormatting sqref="I43:I44">
    <cfRule type="cellIs" dxfId="107" priority="26" operator="lessThan">
      <formula>$J43</formula>
    </cfRule>
  </conditionalFormatting>
  <conditionalFormatting sqref="L73:M73 L75:M75">
    <cfRule type="cellIs" dxfId="106" priority="19" operator="greaterThan">
      <formula>0</formula>
    </cfRule>
  </conditionalFormatting>
  <conditionalFormatting sqref="L72:M72 L74:M74">
    <cfRule type="cellIs" dxfId="105" priority="18" operator="greaterThan">
      <formula>0</formula>
    </cfRule>
  </conditionalFormatting>
  <conditionalFormatting sqref="L34:M35">
    <cfRule type="cellIs" dxfId="104" priority="16" operator="greaterThan">
      <formula>0</formula>
    </cfRule>
  </conditionalFormatting>
  <conditionalFormatting sqref="I34:J35">
    <cfRule type="cellIs" dxfId="103" priority="15" operator="greaterThan">
      <formula>0</formula>
    </cfRule>
  </conditionalFormatting>
  <conditionalFormatting sqref="I34:I35">
    <cfRule type="cellIs" dxfId="102" priority="14" operator="lessThan">
      <formula>$J34</formula>
    </cfRule>
  </conditionalFormatting>
  <conditionalFormatting sqref="L46:M46 L52:M52 L54:M54 L56:M56 L58:M58 L60:M60 L62:M62 L64:M64 L66:M66 L48:M48 L50:M50">
    <cfRule type="cellIs" dxfId="101" priority="4" operator="greaterThan">
      <formula>0</formula>
    </cfRule>
  </conditionalFormatting>
  <conditionalFormatting sqref="L45:M45 L47:M47 L53:M53 L55:M55 L57:M57 L59:M59 L61:M61 L63:M63 L65:M65 L49:M49 L51:M51">
    <cfRule type="cellIs" dxfId="100" priority="3" operator="greaterThan">
      <formula>0</formula>
    </cfRule>
  </conditionalFormatting>
  <conditionalFormatting sqref="M45:M66">
    <cfRule type="cellIs" dxfId="99" priority="2" operator="greaterThan">
      <formula>0</formula>
    </cfRule>
  </conditionalFormatting>
  <conditionalFormatting sqref="I45:J66">
    <cfRule type="cellIs" dxfId="98" priority="7" operator="greaterThan">
      <formula>0</formula>
    </cfRule>
  </conditionalFormatting>
  <conditionalFormatting sqref="L46:M46 L52:M52 L54:M54 L56:M56 L58:M58 L60:M60 L62:M62 L64:M64 L66:M66 L48:M48 L50:M50">
    <cfRule type="cellIs" dxfId="97" priority="6" operator="greaterThan">
      <formula>0</formula>
    </cfRule>
  </conditionalFormatting>
  <conditionalFormatting sqref="L45:M45 L47:M47 L53:M53 L55:M55 L57:M57 L59:M59 L61:M61 L63:M63 L65:M65 L49:M49 L51:M51">
    <cfRule type="cellIs" dxfId="96" priority="5" operator="greaterThan">
      <formula>0</formula>
    </cfRule>
  </conditionalFormatting>
  <conditionalFormatting sqref="I45:I66">
    <cfRule type="cellIs" dxfId="95" priority="8" operator="lessThan">
      <formula>$J45</formula>
    </cfRule>
  </conditionalFormatting>
  <conditionalFormatting sqref="M81">
    <cfRule type="cellIs" dxfId="94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9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3"/>
  <sheetViews>
    <sheetView showGridLines="0" tabSelected="1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430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31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2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270</v>
      </c>
      <c r="C8" s="63"/>
      <c r="D8" s="70" t="s">
        <v>204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431</v>
      </c>
      <c r="C9" s="63"/>
      <c r="D9" s="68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3" t="s">
        <v>196</v>
      </c>
      <c r="C10" s="435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718" t="str">
        <f>"1 SEK = "&amp;NOK&amp;" NOK"</f>
        <v>1 SEK = 1 NOK</v>
      </c>
      <c r="E11" s="718"/>
      <c r="F11" s="718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69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612" t="s">
        <v>272</v>
      </c>
      <c r="C18" s="612"/>
      <c r="D18" s="612"/>
      <c r="E18" s="612"/>
      <c r="F18" s="602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0" t="s">
        <v>273</v>
      </c>
      <c r="C19" s="700"/>
      <c r="D19" s="700"/>
      <c r="E19" s="700"/>
      <c r="F19" s="700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407</v>
      </c>
      <c r="C20" s="614"/>
      <c r="D20" s="614"/>
      <c r="E20" s="614"/>
      <c r="F20" s="601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81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81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1" t="s">
        <v>274</v>
      </c>
      <c r="C23" s="11"/>
      <c r="D23" s="11"/>
      <c r="I23" s="168"/>
      <c r="K23" s="168"/>
      <c r="L23" s="204"/>
      <c r="M23" s="204"/>
      <c r="O23" s="205"/>
      <c r="P23" s="525"/>
    </row>
    <row r="24" spans="2:28" s="210" customFormat="1" ht="52">
      <c r="B24" s="482" t="s">
        <v>211</v>
      </c>
      <c r="C24" s="13" t="s">
        <v>10</v>
      </c>
      <c r="D24" s="13" t="s">
        <v>11</v>
      </c>
      <c r="E24" s="14" t="s">
        <v>212</v>
      </c>
      <c r="F24" s="206"/>
      <c r="G24" s="207" t="s">
        <v>275</v>
      </c>
      <c r="H24" s="207" t="s">
        <v>276</v>
      </c>
      <c r="I24" s="208" t="s">
        <v>277</v>
      </c>
      <c r="J24" s="208" t="s">
        <v>278</v>
      </c>
      <c r="K24" s="209"/>
      <c r="L24" s="207" t="s">
        <v>218</v>
      </c>
      <c r="M24" s="207" t="s">
        <v>279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3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218">
        <f t="shared" ref="M25:M37" si="2">J25*C25*SW_win.ser.201X_SEK</f>
        <v>0</v>
      </c>
      <c r="O25" s="219"/>
      <c r="P25" s="524"/>
      <c r="R25" s="527"/>
      <c r="T25" s="526"/>
    </row>
    <row r="26" spans="2:28" s="192" customFormat="1" ht="25.5" customHeight="1">
      <c r="B26" s="484" t="s">
        <v>20</v>
      </c>
      <c r="C26" s="18">
        <v>1</v>
      </c>
      <c r="D26" s="18">
        <v>2</v>
      </c>
      <c r="E26" s="470">
        <v>40</v>
      </c>
      <c r="F26" s="220"/>
      <c r="G26" s="221">
        <f t="shared" si="0"/>
        <v>0.46388888888888891</v>
      </c>
      <c r="H26" s="222">
        <f t="shared" ref="H26:H35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223">
        <f t="shared" si="2"/>
        <v>0</v>
      </c>
      <c r="O26" s="219"/>
      <c r="P26" s="524"/>
      <c r="R26" s="527"/>
      <c r="S26" s="526"/>
    </row>
    <row r="27" spans="2:28" s="192" customFormat="1" ht="25.5" customHeight="1">
      <c r="B27" s="483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218">
        <f t="shared" si="2"/>
        <v>0</v>
      </c>
      <c r="N27" s="224"/>
      <c r="O27" s="219"/>
      <c r="P27" s="524"/>
      <c r="R27" s="527"/>
      <c r="S27" s="526"/>
    </row>
    <row r="28" spans="2:28" s="192" customFormat="1" ht="25.5" customHeight="1">
      <c r="B28" s="484" t="s">
        <v>22</v>
      </c>
      <c r="C28" s="18">
        <v>4</v>
      </c>
      <c r="D28" s="18">
        <v>8</v>
      </c>
      <c r="E28" s="470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223">
        <f t="shared" si="2"/>
        <v>0</v>
      </c>
      <c r="O28" s="219"/>
      <c r="P28" s="524"/>
      <c r="R28" s="527"/>
      <c r="S28" s="526"/>
    </row>
    <row r="29" spans="2:28" s="192" customFormat="1" ht="25.5" customHeight="1">
      <c r="B29" s="483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218">
        <f t="shared" si="2"/>
        <v>0</v>
      </c>
      <c r="O29" s="219"/>
      <c r="P29" s="524"/>
      <c r="R29" s="527"/>
    </row>
    <row r="30" spans="2:28" s="192" customFormat="1" ht="25.5" customHeight="1">
      <c r="B30" s="484" t="s">
        <v>24</v>
      </c>
      <c r="C30" s="18">
        <v>16</v>
      </c>
      <c r="D30" s="18">
        <v>32</v>
      </c>
      <c r="E30" s="470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223">
        <f t="shared" si="2"/>
        <v>0</v>
      </c>
      <c r="O30" s="219"/>
      <c r="P30" s="524"/>
      <c r="R30" s="527"/>
    </row>
    <row r="31" spans="2:28" s="192" customFormat="1" ht="25.5" customHeight="1">
      <c r="B31" s="483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218">
        <f t="shared" si="2"/>
        <v>0</v>
      </c>
      <c r="O31" s="219"/>
      <c r="P31" s="524"/>
    </row>
    <row r="32" spans="2:28" s="192" customFormat="1" ht="25.5" customHeight="1">
      <c r="B32" s="484" t="s">
        <v>26</v>
      </c>
      <c r="C32" s="18">
        <v>2</v>
      </c>
      <c r="D32" s="18">
        <v>8</v>
      </c>
      <c r="E32" s="470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223">
        <f t="shared" si="2"/>
        <v>0</v>
      </c>
      <c r="O32" s="219"/>
      <c r="P32" s="524"/>
    </row>
    <row r="33" spans="2:22" s="192" customFormat="1" ht="25.5" customHeight="1">
      <c r="B33" s="483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218">
        <f t="shared" si="2"/>
        <v>0</v>
      </c>
      <c r="O33" s="219"/>
      <c r="P33" s="524"/>
    </row>
    <row r="34" spans="2:22" s="192" customFormat="1" ht="25.5" customHeight="1">
      <c r="B34" s="484" t="s">
        <v>28</v>
      </c>
      <c r="C34" s="18">
        <v>8</v>
      </c>
      <c r="D34" s="18">
        <v>32</v>
      </c>
      <c r="E34" s="470">
        <v>40</v>
      </c>
      <c r="F34" s="220"/>
      <c r="G34" s="221">
        <f t="shared" si="0"/>
        <v>3.5333333333333332</v>
      </c>
      <c r="H34" s="222">
        <f t="shared" si="3"/>
        <v>2544</v>
      </c>
      <c r="I34" s="217"/>
      <c r="J34" s="217"/>
      <c r="K34" s="220" t="s">
        <v>60</v>
      </c>
      <c r="L34" s="223">
        <f t="shared" si="1"/>
        <v>0</v>
      </c>
      <c r="M34" s="223">
        <f t="shared" si="2"/>
        <v>0</v>
      </c>
      <c r="O34" s="219"/>
      <c r="P34" s="524"/>
      <c r="T34" s="200"/>
      <c r="U34" s="200"/>
      <c r="V34" s="200"/>
    </row>
    <row r="35" spans="2:22" s="192" customFormat="1" ht="25.5" customHeight="1">
      <c r="B35" s="483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3"/>
        <v>4944</v>
      </c>
      <c r="I35" s="217"/>
      <c r="J35" s="217"/>
      <c r="K35" s="214" t="s">
        <v>60</v>
      </c>
      <c r="L35" s="218">
        <f t="shared" si="1"/>
        <v>0</v>
      </c>
      <c r="M35" s="218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4" t="s">
        <v>404</v>
      </c>
      <c r="C36" s="18">
        <v>32</v>
      </c>
      <c r="D36" s="18">
        <v>128</v>
      </c>
      <c r="E36" s="470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20" t="s">
        <v>60</v>
      </c>
      <c r="L36" s="223">
        <f t="shared" si="1"/>
        <v>0</v>
      </c>
      <c r="M36" s="223">
        <f t="shared" si="2"/>
        <v>0</v>
      </c>
      <c r="O36" s="219"/>
      <c r="P36" s="524"/>
      <c r="T36" s="200"/>
      <c r="U36" s="200"/>
      <c r="V36" s="200"/>
    </row>
    <row r="37" spans="2:22" s="192" customFormat="1" ht="25.5" customHeight="1">
      <c r="B37" s="483" t="s">
        <v>405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4" t="s">
        <v>60</v>
      </c>
      <c r="L37" s="218">
        <f t="shared" si="1"/>
        <v>0</v>
      </c>
      <c r="M37" s="218">
        <f t="shared" si="2"/>
        <v>0</v>
      </c>
      <c r="O37" s="219"/>
      <c r="T37" s="200"/>
      <c r="U37" s="200"/>
      <c r="V37" s="200"/>
    </row>
    <row r="38" spans="2:22" ht="25.5" customHeight="1">
      <c r="B38" s="485" t="s">
        <v>86</v>
      </c>
      <c r="C38" s="605" cm="1">
        <f t="array" ref="C38">SUM(C25:C37*I25:I37)</f>
        <v>0</v>
      </c>
      <c r="D38" s="605" cm="1">
        <f t="array" ref="D38">SUM(D25:D37*I25:I37)</f>
        <v>0</v>
      </c>
      <c r="E38" s="605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300" t="str">
        <f>SUM(J25:J37)&amp;" st"</f>
        <v>0 st</v>
      </c>
      <c r="K38" s="163"/>
      <c r="L38" s="598">
        <f>SUM(L25:L35)</f>
        <v>0</v>
      </c>
      <c r="M38" s="90">
        <f>SUM(M25:M35)</f>
        <v>0</v>
      </c>
      <c r="O38" s="205"/>
      <c r="T38" s="200"/>
      <c r="U38" s="200"/>
      <c r="V38" s="228"/>
    </row>
    <row r="39" spans="2:22" ht="25.5" customHeight="1">
      <c r="B39" s="486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51"/>
      <c r="O39" s="205"/>
      <c r="T39" s="200"/>
      <c r="U39" s="200"/>
      <c r="V39" s="228"/>
    </row>
    <row r="40" spans="2:22" ht="25.5" customHeight="1">
      <c r="B40" s="486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51"/>
      <c r="O40" s="205"/>
      <c r="T40" s="200"/>
      <c r="U40" s="200"/>
      <c r="V40" s="228"/>
    </row>
    <row r="41" spans="2:22" s="237" customFormat="1" ht="31">
      <c r="B41" s="449" t="s">
        <v>220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236"/>
      <c r="O41" s="238"/>
      <c r="T41" s="239"/>
      <c r="U41" s="239"/>
      <c r="V41" s="240"/>
    </row>
    <row r="42" spans="2:22" s="241" customFormat="1" ht="52">
      <c r="B42" s="482" t="s">
        <v>211</v>
      </c>
      <c r="C42" s="13" t="s">
        <v>10</v>
      </c>
      <c r="D42" s="13" t="s">
        <v>11</v>
      </c>
      <c r="E42" s="14" t="s">
        <v>212</v>
      </c>
      <c r="F42" s="206"/>
      <c r="G42" s="207" t="s">
        <v>275</v>
      </c>
      <c r="H42" s="207" t="s">
        <v>276</v>
      </c>
      <c r="I42" s="208" t="s">
        <v>277</v>
      </c>
      <c r="J42" s="208" t="s">
        <v>278</v>
      </c>
      <c r="K42" s="209"/>
      <c r="L42" s="207" t="s">
        <v>218</v>
      </c>
      <c r="M42" s="207" t="s">
        <v>279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8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6">H43/720</f>
        <v>0.2013888888888889</v>
      </c>
      <c r="H43" s="248">
        <f t="shared" ref="H43:H65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218">
        <f t="shared" ref="M43:M66" si="9">J43*C43*SW_win.ser.201X_SEK</f>
        <v>0</v>
      </c>
      <c r="O43" s="219"/>
      <c r="T43" s="200"/>
      <c r="V43" s="200"/>
    </row>
    <row r="44" spans="2:22" s="192" customFormat="1" ht="25.5" customHeight="1">
      <c r="B44" s="489" t="s">
        <v>409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223">
        <f t="shared" si="9"/>
        <v>0</v>
      </c>
      <c r="O44" s="219"/>
      <c r="T44" s="200"/>
      <c r="V44" s="200"/>
    </row>
    <row r="45" spans="2:22" s="192" customFormat="1" ht="25.5" customHeight="1">
      <c r="B45" s="488" t="s">
        <v>411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218">
        <f t="shared" si="9"/>
        <v>0</v>
      </c>
      <c r="O45" s="219"/>
      <c r="T45" s="200"/>
      <c r="V45" s="200"/>
    </row>
    <row r="46" spans="2:22" s="192" customFormat="1" ht="25.5" customHeight="1">
      <c r="B46" s="489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223">
        <f t="shared" si="9"/>
        <v>0</v>
      </c>
      <c r="O46" s="219"/>
      <c r="T46" s="200"/>
      <c r="V46" s="200"/>
    </row>
    <row r="47" spans="2:22" s="192" customFormat="1" ht="25.5" customHeight="1">
      <c r="B47" s="488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218">
        <f t="shared" si="9"/>
        <v>0</v>
      </c>
      <c r="O47" s="219"/>
      <c r="T47" s="200"/>
      <c r="V47" s="200"/>
    </row>
    <row r="48" spans="2:22" s="192" customFormat="1" ht="25.5" customHeight="1">
      <c r="B48" s="489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223">
        <f t="shared" si="9"/>
        <v>0</v>
      </c>
      <c r="O48" s="219"/>
      <c r="T48" s="200"/>
      <c r="V48" s="200"/>
    </row>
    <row r="49" spans="2:22" s="192" customFormat="1" ht="25.5" customHeight="1">
      <c r="B49" s="488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218">
        <f t="shared" si="9"/>
        <v>0</v>
      </c>
      <c r="O49" s="219"/>
      <c r="T49" s="200"/>
      <c r="V49" s="200"/>
    </row>
    <row r="50" spans="2:22" s="192" customFormat="1" ht="25.5" customHeight="1">
      <c r="B50" s="489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223">
        <f t="shared" si="9"/>
        <v>0</v>
      </c>
      <c r="O50" s="219"/>
      <c r="T50" s="200"/>
      <c r="V50" s="200"/>
    </row>
    <row r="51" spans="2:22" s="192" customFormat="1" ht="25.5" customHeight="1">
      <c r="B51" s="488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218">
        <f t="shared" si="9"/>
        <v>0</v>
      </c>
      <c r="O51" s="219"/>
      <c r="T51" s="200"/>
      <c r="V51" s="200"/>
    </row>
    <row r="52" spans="2:22" s="192" customFormat="1" ht="25.5" customHeight="1">
      <c r="B52" s="489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223">
        <f t="shared" si="9"/>
        <v>0</v>
      </c>
      <c r="O52" s="219"/>
      <c r="T52" s="200"/>
      <c r="V52" s="200"/>
    </row>
    <row r="53" spans="2:22" s="192" customFormat="1" ht="25.5" customHeight="1">
      <c r="B53" s="488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218">
        <f t="shared" si="9"/>
        <v>0</v>
      </c>
      <c r="O53" s="219"/>
      <c r="T53" s="200"/>
      <c r="V53" s="200"/>
    </row>
    <row r="54" spans="2:22" s="192" customFormat="1" ht="25.5" customHeight="1">
      <c r="B54" s="489" t="s">
        <v>410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223">
        <f t="shared" si="9"/>
        <v>0</v>
      </c>
      <c r="O54" s="219"/>
      <c r="T54" s="200"/>
      <c r="V54" s="200"/>
    </row>
    <row r="55" spans="2:22" s="192" customFormat="1" ht="25.5" customHeight="1">
      <c r="B55" s="488" t="s">
        <v>412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218">
        <f t="shared" si="9"/>
        <v>0</v>
      </c>
      <c r="O55" s="219"/>
      <c r="T55" s="200"/>
      <c r="V55" s="200"/>
    </row>
    <row r="56" spans="2:22" s="192" customFormat="1" ht="25.5" customHeight="1">
      <c r="B56" s="489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223">
        <f t="shared" si="9"/>
        <v>0</v>
      </c>
      <c r="O56" s="219"/>
      <c r="T56" s="200"/>
      <c r="V56" s="200"/>
    </row>
    <row r="57" spans="2:22" s="192" customFormat="1" ht="25.5" customHeight="1">
      <c r="B57" s="488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218">
        <f t="shared" si="9"/>
        <v>0</v>
      </c>
      <c r="O57" s="219"/>
      <c r="T57" s="200"/>
      <c r="V57" s="200"/>
    </row>
    <row r="58" spans="2:22" s="192" customFormat="1" ht="25.5" customHeight="1">
      <c r="B58" s="489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10">H58/720</f>
        <v>4.0277777777777777</v>
      </c>
      <c r="H58" s="244">
        <f t="shared" ref="H58:H61" si="11">C58*IAAS_vcpu_SEK+D58*IAAS_ram_SEK+E58*IAAS_nvme_SEK</f>
        <v>2900</v>
      </c>
      <c r="I58" s="217"/>
      <c r="J58" s="217"/>
      <c r="K58" s="251" t="s">
        <v>60</v>
      </c>
      <c r="L58" s="223">
        <f t="shared" si="8"/>
        <v>0</v>
      </c>
      <c r="M58" s="223">
        <f t="shared" si="9"/>
        <v>0</v>
      </c>
      <c r="O58" s="219"/>
      <c r="T58" s="200"/>
      <c r="V58" s="200"/>
    </row>
    <row r="59" spans="2:22" s="192" customFormat="1" ht="25.5" customHeight="1">
      <c r="B59" s="488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10"/>
        <v>4.7222222222222223</v>
      </c>
      <c r="H59" s="248">
        <f t="shared" si="11"/>
        <v>3400</v>
      </c>
      <c r="I59" s="217"/>
      <c r="J59" s="217"/>
      <c r="K59" s="249" t="s">
        <v>60</v>
      </c>
      <c r="L59" s="218">
        <f t="shared" si="8"/>
        <v>0</v>
      </c>
      <c r="M59" s="218">
        <f t="shared" si="9"/>
        <v>0</v>
      </c>
      <c r="O59" s="219"/>
      <c r="T59" s="200"/>
      <c r="V59" s="200"/>
    </row>
    <row r="60" spans="2:22" s="192" customFormat="1" ht="25.5" customHeight="1">
      <c r="B60" s="489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223">
        <f t="shared" si="9"/>
        <v>0</v>
      </c>
      <c r="O60" s="219"/>
      <c r="T60" s="200"/>
      <c r="V60" s="200"/>
    </row>
    <row r="61" spans="2:22" s="192" customFormat="1" ht="25.5" customHeight="1">
      <c r="B61" s="488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10"/>
        <v>7.3611111111111107</v>
      </c>
      <c r="H61" s="248">
        <f t="shared" si="11"/>
        <v>5300</v>
      </c>
      <c r="I61" s="217"/>
      <c r="J61" s="217"/>
      <c r="K61" s="249" t="s">
        <v>60</v>
      </c>
      <c r="L61" s="218">
        <f t="shared" si="8"/>
        <v>0</v>
      </c>
      <c r="M61" s="218">
        <f t="shared" si="9"/>
        <v>0</v>
      </c>
      <c r="O61" s="219"/>
      <c r="T61" s="200"/>
      <c r="V61" s="200"/>
    </row>
    <row r="62" spans="2:22" s="192" customFormat="1" ht="25.5" customHeight="1">
      <c r="B62" s="489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223">
        <f t="shared" si="9"/>
        <v>0</v>
      </c>
      <c r="O62" s="219"/>
      <c r="T62" s="200"/>
      <c r="V62" s="200"/>
    </row>
    <row r="63" spans="2:22" s="192" customFormat="1" ht="25.5" customHeight="1">
      <c r="B63" s="488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218">
        <f t="shared" si="9"/>
        <v>0</v>
      </c>
      <c r="O63" s="219"/>
      <c r="T63" s="200"/>
      <c r="V63" s="200"/>
    </row>
    <row r="64" spans="2:22" s="192" customFormat="1" ht="25.5" customHeight="1">
      <c r="B64" s="489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223">
        <f t="shared" si="9"/>
        <v>0</v>
      </c>
      <c r="O64" s="219"/>
      <c r="T64" s="200"/>
      <c r="V64" s="200"/>
    </row>
    <row r="65" spans="2:23" s="192" customFormat="1" ht="25.5" customHeight="1">
      <c r="B65" s="488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6"/>
        <v>14.722222222222221</v>
      </c>
      <c r="H65" s="248">
        <f t="shared" si="7"/>
        <v>10600</v>
      </c>
      <c r="I65" s="217"/>
      <c r="J65" s="217"/>
      <c r="K65" s="249" t="s">
        <v>60</v>
      </c>
      <c r="L65" s="218">
        <f t="shared" si="8"/>
        <v>0</v>
      </c>
      <c r="M65" s="218">
        <f t="shared" si="9"/>
        <v>0</v>
      </c>
      <c r="O65" s="219"/>
      <c r="T65" s="200"/>
      <c r="V65" s="200"/>
    </row>
    <row r="66" spans="2:23" s="192" customFormat="1" ht="25.5" customHeight="1">
      <c r="B66" s="489" t="s">
        <v>403</v>
      </c>
      <c r="C66" s="100">
        <v>64</v>
      </c>
      <c r="D66" s="100">
        <v>256</v>
      </c>
      <c r="E66" s="120">
        <v>1000</v>
      </c>
      <c r="F66" s="250"/>
      <c r="G66" s="243">
        <f t="shared" ref="G66" si="12">H66/720</f>
        <v>28.055555555555557</v>
      </c>
      <c r="H66" s="244">
        <f t="shared" ref="H66" si="13">C66*IAAS_vcpu_SEK+D66*IAAS_ram_SEK+E66*IAAS_nvme_SEK</f>
        <v>20200</v>
      </c>
      <c r="I66" s="217"/>
      <c r="J66" s="217"/>
      <c r="K66" s="251" t="s">
        <v>60</v>
      </c>
      <c r="L66" s="223">
        <f t="shared" si="8"/>
        <v>0</v>
      </c>
      <c r="M66" s="223">
        <f t="shared" si="9"/>
        <v>0</v>
      </c>
      <c r="O66" s="219"/>
      <c r="T66" s="200"/>
      <c r="V66" s="200"/>
    </row>
    <row r="67" spans="2:23" s="192" customFormat="1" ht="25" customHeight="1">
      <c r="B67" s="485" t="s">
        <v>86</v>
      </c>
      <c r="C67" s="162" cm="1">
        <f t="array" ref="C67">SUM(C43:C66*I43:I66)</f>
        <v>0</v>
      </c>
      <c r="D67" s="162" cm="1">
        <f t="array" ref="D67">SUM(D43:D66*I43:I66)</f>
        <v>0</v>
      </c>
      <c r="E67" s="624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2" t="str">
        <f>SUM(J43:J66)&amp;" st"</f>
        <v>0 st</v>
      </c>
      <c r="K67" s="163"/>
      <c r="L67" s="598">
        <f>SUM(L43:L65)</f>
        <v>0</v>
      </c>
      <c r="M67" s="90">
        <f>SUM(M43:M65)</f>
        <v>0</v>
      </c>
      <c r="O67" s="219"/>
      <c r="T67" s="200"/>
      <c r="V67" s="200"/>
    </row>
    <row r="68" spans="2:23" ht="25.5" customHeight="1">
      <c r="B68" s="490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255"/>
      <c r="O68" s="205"/>
      <c r="P68" s="192"/>
      <c r="T68" s="200"/>
      <c r="U68" s="200"/>
      <c r="V68" s="228"/>
    </row>
    <row r="69" spans="2:23" ht="25.5" customHeight="1">
      <c r="B69" s="490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customHeight="1">
      <c r="B70" s="491" t="s">
        <v>280</v>
      </c>
      <c r="C70" s="429"/>
      <c r="D70" s="429"/>
      <c r="E70" s="429"/>
      <c r="F70" s="429"/>
      <c r="G70" s="429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>
      <c r="B71" s="482" t="s">
        <v>211</v>
      </c>
      <c r="C71" s="13" t="s">
        <v>222</v>
      </c>
      <c r="D71" s="13" t="s">
        <v>11</v>
      </c>
      <c r="E71" s="102" t="s">
        <v>32</v>
      </c>
      <c r="F71" s="206" t="s">
        <v>53</v>
      </c>
      <c r="G71" s="207" t="s">
        <v>275</v>
      </c>
      <c r="H71" s="207" t="s">
        <v>276</v>
      </c>
      <c r="I71" s="208" t="s">
        <v>277</v>
      </c>
      <c r="J71" s="208" t="s">
        <v>278</v>
      </c>
      <c r="K71" s="209"/>
      <c r="L71" s="207" t="s">
        <v>218</v>
      </c>
      <c r="M71" s="207" t="s">
        <v>279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customHeight="1">
      <c r="B72" s="488" t="s">
        <v>54</v>
      </c>
      <c r="C72" s="99">
        <v>4</v>
      </c>
      <c r="D72" s="99">
        <v>16</v>
      </c>
      <c r="E72" s="104">
        <v>250</v>
      </c>
      <c r="F72" s="246">
        <v>1</v>
      </c>
      <c r="G72" s="467">
        <f t="shared" ref="G72:G75" si="14">H72/720</f>
        <v>9.6527777777777786</v>
      </c>
      <c r="H72" s="465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customHeight="1">
      <c r="B73" s="487" t="s">
        <v>55</v>
      </c>
      <c r="C73" s="97">
        <v>8</v>
      </c>
      <c r="D73" s="97">
        <v>32</v>
      </c>
      <c r="E73" s="103">
        <v>500</v>
      </c>
      <c r="F73" s="242">
        <v>2</v>
      </c>
      <c r="G73" s="466">
        <f t="shared" si="14"/>
        <v>19.305555555555557</v>
      </c>
      <c r="H73" s="464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customHeight="1">
      <c r="B74" s="488" t="s">
        <v>56</v>
      </c>
      <c r="C74" s="99">
        <v>16</v>
      </c>
      <c r="D74" s="99">
        <v>64</v>
      </c>
      <c r="E74" s="104">
        <v>1000</v>
      </c>
      <c r="F74" s="246">
        <v>4</v>
      </c>
      <c r="G74" s="467">
        <f t="shared" si="14"/>
        <v>38.611111111111114</v>
      </c>
      <c r="H74" s="465">
        <f>C74*IAAS_vcpu_SEK+D74*IAAS_ram_SEK+E74*IAAS_nvme_SEK+F74*IAAS_gpu_SEK</f>
        <v>27800</v>
      </c>
      <c r="I74" s="217"/>
      <c r="J74" s="217"/>
      <c r="K74" s="249" t="str">
        <f>K65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customHeight="1">
      <c r="B75" s="487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6">
        <f t="shared" si="14"/>
        <v>60.555555555555557</v>
      </c>
      <c r="H75" s="464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customHeight="1">
      <c r="B76" s="485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8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customHeight="1">
      <c r="B77" s="486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customHeight="1">
      <c r="B78" s="486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>
      <c r="B79" s="449" t="s">
        <v>281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>
      <c r="B80" s="482" t="s">
        <v>211</v>
      </c>
      <c r="C80" s="13" t="s">
        <v>222</v>
      </c>
      <c r="D80" s="13" t="s">
        <v>11</v>
      </c>
      <c r="E80" s="14" t="s">
        <v>32</v>
      </c>
      <c r="F80" s="273"/>
      <c r="G80" s="207" t="s">
        <v>275</v>
      </c>
      <c r="H80" s="207" t="s">
        <v>276</v>
      </c>
      <c r="I80" s="208" t="s">
        <v>277</v>
      </c>
      <c r="J80" s="208" t="s">
        <v>278</v>
      </c>
      <c r="K80" s="209"/>
      <c r="L80" s="207" t="s">
        <v>218</v>
      </c>
      <c r="M80" s="207" t="s">
        <v>279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5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4" s="192" customFormat="1" ht="25.5" customHeight="1">
      <c r="B82" s="492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5"/>
        <v>19</v>
      </c>
      <c r="H82" s="244">
        <f>INSTANCE_p1.4xlarge.16d_SEK</f>
        <v>13680</v>
      </c>
      <c r="I82" s="217"/>
      <c r="J82" s="217"/>
      <c r="K82" s="220" t="str">
        <f t="shared" ref="K82" si="16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4" s="265" customFormat="1" ht="25.5" customHeight="1">
      <c r="B83" s="493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5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4" ht="25.5" customHeight="1">
      <c r="B84" s="486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8">
        <f>SUM(L81:L83)</f>
        <v>0</v>
      </c>
      <c r="M84" s="90">
        <f>SUM(M81:M83)</f>
        <v>0</v>
      </c>
      <c r="O84" s="205"/>
    </row>
    <row r="85" spans="2:24" ht="25.5" customHeight="1">
      <c r="B85" s="494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4" s="192" customFormat="1" ht="25.5" customHeight="1">
      <c r="B86" s="495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4" ht="25.5" customHeight="1">
      <c r="B87" s="449" t="s">
        <v>282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2" t="s">
        <v>211</v>
      </c>
      <c r="C88" s="26" t="s">
        <v>283</v>
      </c>
      <c r="D88" s="26"/>
      <c r="E88" s="139" t="s">
        <v>275</v>
      </c>
      <c r="F88" s="702" t="s">
        <v>284</v>
      </c>
      <c r="G88" s="702"/>
      <c r="H88" s="711"/>
      <c r="I88" s="711"/>
      <c r="J88" s="285" t="s">
        <v>285</v>
      </c>
      <c r="K88" s="284"/>
      <c r="L88" s="284"/>
      <c r="M88" s="588" t="s">
        <v>93</v>
      </c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09">
        <f>VOLUME_large_SEK</f>
        <v>1.2</v>
      </c>
      <c r="G89" s="709"/>
      <c r="H89" s="712"/>
      <c r="I89" s="712"/>
      <c r="J89" s="290"/>
      <c r="K89" s="517" t="s">
        <v>69</v>
      </c>
      <c r="L89" s="291"/>
      <c r="M89" s="293">
        <f>ROUNDUP(J89*F89,2)</f>
        <v>0</v>
      </c>
      <c r="N89" s="201"/>
      <c r="O89" s="219"/>
    </row>
    <row r="90" spans="2:24" s="192" customFormat="1" ht="25.5" customHeight="1">
      <c r="B90" s="492" t="s">
        <v>70</v>
      </c>
      <c r="C90" s="43" t="s">
        <v>71</v>
      </c>
      <c r="D90" s="81"/>
      <c r="E90" s="83">
        <f>F90/720</f>
        <v>5.0000000000000001E-3</v>
      </c>
      <c r="F90" s="710">
        <f>VOLUME_fast_SEK</f>
        <v>3.6</v>
      </c>
      <c r="G90" s="710"/>
      <c r="H90" s="713"/>
      <c r="I90" s="713"/>
      <c r="J90" s="294"/>
      <c r="K90" s="518" t="s">
        <v>69</v>
      </c>
      <c r="L90" s="295"/>
      <c r="M90" s="297">
        <f>ROUNDUP(J90*F90,2)</f>
        <v>0</v>
      </c>
      <c r="N90" s="201"/>
      <c r="O90" s="219"/>
      <c r="X90" s="200"/>
    </row>
    <row r="91" spans="2:24" ht="25.5" customHeight="1">
      <c r="B91" s="485" t="s">
        <v>226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90">
        <f>SUM(M89:M90)</f>
        <v>0</v>
      </c>
      <c r="O91" s="205"/>
    </row>
    <row r="92" spans="2:24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4" s="187" customFormat="1" ht="25.5" customHeight="1">
      <c r="B95" s="698" t="s">
        <v>72</v>
      </c>
      <c r="C95" s="698"/>
      <c r="D95" s="698"/>
      <c r="E95" s="698"/>
      <c r="F95" s="698"/>
      <c r="G95" s="698"/>
      <c r="H95" s="188"/>
      <c r="J95" s="189"/>
      <c r="K95" s="189"/>
      <c r="M95" s="190"/>
      <c r="O95" s="191"/>
    </row>
    <row r="96" spans="2:24" s="187" customFormat="1" ht="25.5" customHeight="1">
      <c r="B96" s="698"/>
      <c r="C96" s="698"/>
      <c r="D96" s="698"/>
      <c r="E96" s="698"/>
      <c r="F96" s="698"/>
      <c r="G96" s="698"/>
      <c r="H96" s="188"/>
      <c r="J96" s="189"/>
      <c r="K96" s="189"/>
      <c r="M96" s="190"/>
      <c r="O96" s="191"/>
    </row>
    <row r="97" spans="2:23" s="187" customFormat="1" ht="25.5" customHeight="1">
      <c r="B97" s="698"/>
      <c r="C97" s="698"/>
      <c r="D97" s="698"/>
      <c r="E97" s="698"/>
      <c r="F97" s="698"/>
      <c r="G97" s="698"/>
      <c r="H97" s="188"/>
      <c r="J97" s="189"/>
      <c r="K97" s="189"/>
      <c r="M97" s="190"/>
      <c r="O97" s="191"/>
    </row>
    <row r="98" spans="2:23" s="187" customFormat="1" ht="25.5" customHeight="1">
      <c r="B98" s="771" t="s">
        <v>286</v>
      </c>
      <c r="C98" s="771"/>
      <c r="D98" s="771"/>
      <c r="E98" s="771"/>
      <c r="F98" s="771"/>
      <c r="H98" s="188"/>
      <c r="J98" s="189"/>
      <c r="K98" s="189"/>
      <c r="M98" s="190"/>
      <c r="N98" s="194"/>
      <c r="O98" s="199"/>
    </row>
    <row r="99" spans="2:23" s="311" customFormat="1" ht="25.5" customHeight="1">
      <c r="B99" s="700" t="s">
        <v>287</v>
      </c>
      <c r="C99" s="700"/>
      <c r="D99" s="700"/>
      <c r="E99" s="700"/>
      <c r="F99" s="700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80" t="s">
        <v>288</v>
      </c>
      <c r="C100" s="76"/>
      <c r="D100" s="76"/>
      <c r="E100" s="76"/>
      <c r="F100" s="581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81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82" t="s">
        <v>211</v>
      </c>
      <c r="C102" s="12" t="s">
        <v>289</v>
      </c>
      <c r="D102" s="702" t="s">
        <v>290</v>
      </c>
      <c r="E102" s="702"/>
      <c r="F102" s="702"/>
      <c r="G102" s="702"/>
      <c r="H102" s="702"/>
      <c r="I102" s="702"/>
      <c r="J102" s="702"/>
      <c r="K102" s="702"/>
      <c r="L102" s="588"/>
      <c r="M102" s="284"/>
      <c r="N102" s="198"/>
      <c r="O102" s="219"/>
      <c r="Q102" s="192"/>
      <c r="R102" s="192"/>
    </row>
    <row r="103" spans="2:23" s="187" customFormat="1" ht="25.5" customHeight="1">
      <c r="B103" s="483" t="s">
        <v>77</v>
      </c>
      <c r="C103" s="46" t="s">
        <v>78</v>
      </c>
      <c r="D103" s="714">
        <f>S3_storage.50_SEK</f>
        <v>350</v>
      </c>
      <c r="E103" s="714"/>
      <c r="F103" s="714"/>
      <c r="G103" s="714"/>
      <c r="H103" s="714"/>
      <c r="I103" s="714"/>
      <c r="J103" s="714"/>
      <c r="K103" s="714"/>
      <c r="L103" s="591"/>
      <c r="M103" s="312"/>
      <c r="N103" s="198"/>
      <c r="O103" s="219"/>
      <c r="Q103" s="192"/>
      <c r="R103" s="192"/>
    </row>
    <row r="104" spans="2:23" s="187" customFormat="1" ht="25.5" customHeight="1">
      <c r="B104" s="484" t="s">
        <v>77</v>
      </c>
      <c r="C104" s="48" t="s">
        <v>79</v>
      </c>
      <c r="D104" s="715">
        <f>S3_storage.100_SEK</f>
        <v>270</v>
      </c>
      <c r="E104" s="715"/>
      <c r="F104" s="715"/>
      <c r="G104" s="715"/>
      <c r="H104" s="715"/>
      <c r="I104" s="715"/>
      <c r="J104" s="715"/>
      <c r="K104" s="715"/>
      <c r="L104" s="585"/>
      <c r="M104" s="313"/>
      <c r="N104" s="198"/>
      <c r="O104" s="219"/>
      <c r="Q104" s="192"/>
      <c r="R104" s="192"/>
    </row>
    <row r="105" spans="2:23" s="187" customFormat="1" ht="25.5" customHeight="1">
      <c r="B105" s="483" t="s">
        <v>77</v>
      </c>
      <c r="C105" s="46" t="s">
        <v>80</v>
      </c>
      <c r="D105" s="716">
        <f>S3_storage.500_SEK</f>
        <v>200</v>
      </c>
      <c r="E105" s="716"/>
      <c r="F105" s="716"/>
      <c r="G105" s="716"/>
      <c r="H105" s="716"/>
      <c r="I105" s="716"/>
      <c r="J105" s="716"/>
      <c r="K105" s="716"/>
      <c r="L105" s="590"/>
      <c r="M105" s="314"/>
      <c r="N105" s="198"/>
      <c r="O105" s="219"/>
      <c r="Q105" s="192"/>
      <c r="R105" s="192"/>
    </row>
    <row r="106" spans="2:23" s="187" customFormat="1" ht="25.5" customHeight="1">
      <c r="B106" s="484" t="s">
        <v>77</v>
      </c>
      <c r="C106" s="48" t="s">
        <v>81</v>
      </c>
      <c r="D106" s="715">
        <f>S3_storage.1000_SEK</f>
        <v>185</v>
      </c>
      <c r="E106" s="715"/>
      <c r="F106" s="715"/>
      <c r="G106" s="715"/>
      <c r="H106" s="715"/>
      <c r="I106" s="715"/>
      <c r="J106" s="715"/>
      <c r="K106" s="715"/>
      <c r="L106" s="585"/>
      <c r="M106" s="313"/>
      <c r="N106" s="198"/>
      <c r="O106" s="219"/>
      <c r="Q106" s="192"/>
      <c r="R106" s="192"/>
    </row>
    <row r="107" spans="2:23" s="187" customFormat="1" ht="25.5" customHeight="1">
      <c r="B107" s="483" t="s">
        <v>77</v>
      </c>
      <c r="C107" s="46" t="s">
        <v>82</v>
      </c>
      <c r="D107" s="717" t="str">
        <f>S3_storage.quote_SEK</f>
        <v>Be om offert</v>
      </c>
      <c r="E107" s="717"/>
      <c r="F107" s="717"/>
      <c r="G107" s="717"/>
      <c r="H107" s="717"/>
      <c r="I107" s="717"/>
      <c r="J107" s="717"/>
      <c r="K107" s="717"/>
      <c r="L107" s="587"/>
      <c r="M107" s="315"/>
      <c r="N107" s="198"/>
      <c r="O107" s="219"/>
      <c r="Q107" s="192"/>
      <c r="R107" s="192"/>
    </row>
    <row r="108" spans="2:23" s="187" customFormat="1" ht="25.5" customHeight="1">
      <c r="B108" s="508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9"/>
      <c r="C109" s="140"/>
      <c r="D109" s="140"/>
      <c r="E109" s="140"/>
      <c r="F109" s="581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2" t="s">
        <v>211</v>
      </c>
      <c r="C110" s="26"/>
      <c r="D110" s="26"/>
      <c r="E110" s="138"/>
      <c r="F110" s="26" t="s">
        <v>290</v>
      </c>
      <c r="G110" s="284"/>
      <c r="H110" s="285" t="s">
        <v>289</v>
      </c>
      <c r="I110" s="284"/>
      <c r="J110" s="284"/>
      <c r="K110" s="284"/>
      <c r="L110" s="284"/>
      <c r="M110" s="588" t="s">
        <v>93</v>
      </c>
      <c r="N110" s="317"/>
      <c r="O110" s="219"/>
      <c r="Q110" s="192"/>
      <c r="R110" s="192"/>
    </row>
    <row r="111" spans="2:23" s="268" customFormat="1" ht="25.5" customHeight="1">
      <c r="B111" s="510" t="s">
        <v>77</v>
      </c>
      <c r="C111" s="84"/>
      <c r="D111" s="84"/>
      <c r="E111" s="27"/>
      <c r="F111" s="683" cm="1">
        <f t="array" ref="F111">_xlfn.IFS(H111&lt;51,D103,H111&lt;101,D104,H111&lt;501,D105,H111&lt;1001,D106,H111&gt;1000,D107)</f>
        <v>350</v>
      </c>
      <c r="G111" s="684"/>
      <c r="H111" s="318"/>
      <c r="I111" s="519" t="s">
        <v>85</v>
      </c>
      <c r="J111" s="320"/>
      <c r="K111" s="320"/>
      <c r="L111" s="320"/>
      <c r="M111" s="475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698" t="s">
        <v>87</v>
      </c>
      <c r="C116" s="698"/>
      <c r="D116" s="698"/>
      <c r="E116" s="698"/>
      <c r="F116" s="698"/>
      <c r="G116" s="698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698"/>
      <c r="C117" s="698"/>
      <c r="D117" s="698"/>
      <c r="E117" s="698"/>
      <c r="F117" s="698"/>
      <c r="G117" s="698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698"/>
      <c r="C118" s="698"/>
      <c r="D118" s="698"/>
      <c r="E118" s="698"/>
      <c r="F118" s="698"/>
      <c r="G118" s="698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771" t="s">
        <v>291</v>
      </c>
      <c r="C119" s="771"/>
      <c r="D119" s="771"/>
      <c r="E119" s="771"/>
      <c r="F119" s="771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700" t="s">
        <v>292</v>
      </c>
      <c r="C120" s="700"/>
      <c r="D120" s="700"/>
      <c r="E120" s="700"/>
      <c r="F120" s="700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80" t="s">
        <v>288</v>
      </c>
      <c r="C121" s="76"/>
      <c r="D121" s="76"/>
      <c r="E121" s="76"/>
      <c r="F121" s="581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2" t="s">
        <v>211</v>
      </c>
      <c r="C123" s="702" t="s">
        <v>293</v>
      </c>
      <c r="D123" s="702"/>
      <c r="E123" s="138" t="s">
        <v>275</v>
      </c>
      <c r="F123" s="702" t="s">
        <v>284</v>
      </c>
      <c r="G123" s="702"/>
      <c r="H123" s="285" t="s">
        <v>91</v>
      </c>
      <c r="I123" s="284"/>
      <c r="J123" s="711" t="s">
        <v>294</v>
      </c>
      <c r="K123" s="711"/>
      <c r="L123" s="586"/>
      <c r="M123" s="588" t="s">
        <v>93</v>
      </c>
      <c r="N123" s="271"/>
      <c r="O123" s="205"/>
    </row>
    <row r="124" spans="1:34" ht="25.5" customHeight="1">
      <c r="A124" s="328"/>
      <c r="B124" s="582" t="s">
        <v>94</v>
      </c>
      <c r="C124" s="521"/>
      <c r="D124" s="31" t="s">
        <v>95</v>
      </c>
      <c r="E124" s="31" t="s">
        <v>95</v>
      </c>
      <c r="F124" s="688">
        <f>BAAS_on.demand_SEK</f>
        <v>2.4500000000000002</v>
      </c>
      <c r="G124" s="689"/>
      <c r="H124" s="329"/>
      <c r="I124" s="517" t="s">
        <v>69</v>
      </c>
      <c r="J124" s="687" t="s">
        <v>95</v>
      </c>
      <c r="K124" s="687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83" t="s">
        <v>96</v>
      </c>
      <c r="C125" s="523"/>
      <c r="D125" s="33">
        <v>5500</v>
      </c>
      <c r="E125" s="34" t="s">
        <v>95</v>
      </c>
      <c r="F125" s="690">
        <f>BAAS_small_SEK</f>
        <v>1.75</v>
      </c>
      <c r="G125" s="691"/>
      <c r="H125" s="331"/>
      <c r="I125" s="518" t="s">
        <v>69</v>
      </c>
      <c r="J125" s="696">
        <v>0.75</v>
      </c>
      <c r="K125" s="697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4" t="s">
        <v>97</v>
      </c>
      <c r="C126" s="522"/>
      <c r="D126" s="35">
        <v>9500</v>
      </c>
      <c r="E126" s="37" t="s">
        <v>95</v>
      </c>
      <c r="F126" s="694">
        <f>BAAS_large_SEK</f>
        <v>0.92</v>
      </c>
      <c r="G126" s="695"/>
      <c r="H126" s="318"/>
      <c r="I126" s="519" t="s">
        <v>69</v>
      </c>
      <c r="J126" s="692">
        <v>0.75</v>
      </c>
      <c r="K126" s="693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295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296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297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298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698" t="s">
        <v>299</v>
      </c>
      <c r="C137" s="698"/>
      <c r="D137" s="698"/>
      <c r="E137" s="698"/>
      <c r="F137" s="698"/>
      <c r="G137" s="698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698"/>
      <c r="C138" s="698"/>
      <c r="D138" s="698"/>
      <c r="E138" s="698"/>
      <c r="F138" s="698"/>
      <c r="G138" s="698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698"/>
      <c r="C139" s="698"/>
      <c r="D139" s="698"/>
      <c r="E139" s="698"/>
      <c r="F139" s="698"/>
      <c r="G139" s="698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700" t="s">
        <v>292</v>
      </c>
      <c r="C140" s="700"/>
      <c r="D140" s="700"/>
      <c r="E140" s="700"/>
      <c r="F140" s="700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704"/>
      <c r="C141" s="704"/>
      <c r="D141" s="704"/>
      <c r="E141" s="704"/>
      <c r="F141" s="704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81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300</v>
      </c>
      <c r="C143" s="140"/>
      <c r="D143" s="140"/>
      <c r="E143" s="140"/>
      <c r="F143" s="581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4" t="s">
        <v>211</v>
      </c>
      <c r="C144" s="25" t="s">
        <v>103</v>
      </c>
      <c r="D144" s="25"/>
      <c r="E144" s="26" t="s">
        <v>283</v>
      </c>
      <c r="F144" s="284"/>
      <c r="G144" s="284"/>
      <c r="H144" s="284"/>
      <c r="I144" s="284"/>
      <c r="J144" s="284"/>
      <c r="K144" s="284"/>
      <c r="L144" s="337" t="s">
        <v>301</v>
      </c>
      <c r="M144" s="588" t="s">
        <v>276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243</v>
      </c>
      <c r="F145" s="340"/>
      <c r="G145" s="340"/>
      <c r="H145" s="340"/>
      <c r="I145" s="340"/>
      <c r="J145" s="340"/>
      <c r="K145" s="340"/>
      <c r="L145" s="342" t="s">
        <v>302</v>
      </c>
      <c r="M145" s="595">
        <f>NET_publicv4_SEK</f>
        <v>20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243</v>
      </c>
      <c r="F146" s="343"/>
      <c r="G146" s="343"/>
      <c r="H146" s="343"/>
      <c r="I146" s="343"/>
      <c r="J146" s="343"/>
      <c r="K146" s="343"/>
      <c r="L146" s="345" t="s">
        <v>95</v>
      </c>
      <c r="M146" s="596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303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5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303</v>
      </c>
      <c r="D148" s="137"/>
      <c r="E148" s="43" t="s">
        <v>304</v>
      </c>
      <c r="F148" s="343"/>
      <c r="G148" s="343"/>
      <c r="H148" s="343"/>
      <c r="I148" s="343"/>
      <c r="J148" s="343"/>
      <c r="K148" s="343"/>
      <c r="L148" s="348" t="s">
        <v>69</v>
      </c>
      <c r="M148" s="596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246</v>
      </c>
      <c r="M149" s="595" t="str">
        <f>NET_mgn.slb_SEK</f>
        <v>500 kr - 1 000 kr</v>
      </c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95</v>
      </c>
      <c r="M150" s="596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51" t="s">
        <v>95</v>
      </c>
      <c r="M151" s="595" t="str">
        <f>NET_saferoute_SEK</f>
        <v>Begär offert</v>
      </c>
      <c r="O151" s="219"/>
      <c r="P151" s="203"/>
      <c r="Q151" s="168"/>
      <c r="R151" s="304"/>
      <c r="S151" s="201"/>
    </row>
    <row r="152" spans="2:22" ht="25.5" customHeight="1">
      <c r="B152" s="144" t="s">
        <v>122</v>
      </c>
      <c r="C152" s="137" t="s">
        <v>123</v>
      </c>
      <c r="D152" s="137"/>
      <c r="E152" s="43"/>
      <c r="F152" s="343"/>
      <c r="G152" s="343"/>
      <c r="H152" s="343"/>
      <c r="I152" s="343"/>
      <c r="J152" s="343"/>
      <c r="K152" s="343"/>
      <c r="L152" s="345" t="s">
        <v>95</v>
      </c>
      <c r="M152" s="596">
        <f>NET_byoip_SEK</f>
        <v>0</v>
      </c>
      <c r="O152" s="219"/>
      <c r="P152" s="203"/>
      <c r="Q152" s="168"/>
      <c r="R152" s="304"/>
      <c r="S152" s="201"/>
    </row>
    <row r="153" spans="2:22" ht="40.5" customHeight="1">
      <c r="B153" s="148"/>
      <c r="C153" s="148"/>
      <c r="D153" s="149"/>
      <c r="E153" s="149"/>
      <c r="F153" s="353"/>
      <c r="G153" s="353"/>
      <c r="H153" s="353"/>
      <c r="I153" s="353"/>
      <c r="J153" s="353"/>
      <c r="K153" s="353"/>
      <c r="L153" s="352"/>
      <c r="M153" s="353"/>
      <c r="O153" s="219"/>
      <c r="P153" s="203"/>
      <c r="Q153" s="168"/>
      <c r="R153" s="304"/>
      <c r="S153" s="201"/>
    </row>
    <row r="154" spans="2:22" ht="25.5" customHeight="1">
      <c r="B154" s="449" t="s">
        <v>305</v>
      </c>
      <c r="C154" s="15"/>
      <c r="D154" s="15"/>
      <c r="E154" s="15"/>
      <c r="F154" s="212"/>
      <c r="G154" s="212"/>
      <c r="H154" s="212"/>
      <c r="I154" s="212"/>
      <c r="J154" s="212"/>
      <c r="K154" s="212"/>
      <c r="L154" s="354"/>
      <c r="M154" s="202"/>
      <c r="N154" s="168"/>
      <c r="O154" s="219"/>
      <c r="P154" s="168"/>
      <c r="Q154" s="349"/>
      <c r="R154" s="304"/>
      <c r="S154" s="201"/>
    </row>
    <row r="155" spans="2:22" ht="25.5" customHeight="1">
      <c r="B155" s="520" t="s">
        <v>211</v>
      </c>
      <c r="C155" s="25" t="s">
        <v>103</v>
      </c>
      <c r="D155" s="110"/>
      <c r="E155" s="110" t="s">
        <v>283</v>
      </c>
      <c r="F155" s="356"/>
      <c r="G155" s="356"/>
      <c r="H155" s="356"/>
      <c r="I155" s="356"/>
      <c r="J155" s="356"/>
      <c r="K155" s="356"/>
      <c r="L155" s="337" t="s">
        <v>301</v>
      </c>
      <c r="M155" s="588" t="s">
        <v>276</v>
      </c>
      <c r="O155" s="219"/>
      <c r="P155" s="168"/>
      <c r="Q155" s="168"/>
      <c r="R155" s="304"/>
      <c r="S155" s="201"/>
    </row>
    <row r="156" spans="2:22" ht="25.5" customHeight="1">
      <c r="B156" s="141" t="s">
        <v>125</v>
      </c>
      <c r="C156" s="136"/>
      <c r="D156" s="32"/>
      <c r="E156" s="32" t="s">
        <v>126</v>
      </c>
      <c r="F156" s="340"/>
      <c r="G156" s="340"/>
      <c r="H156" s="340"/>
      <c r="I156" s="340"/>
      <c r="J156" s="340"/>
      <c r="K156" s="340"/>
      <c r="L156" s="342" t="s">
        <v>10</v>
      </c>
      <c r="M156" s="594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ht="25.5" customHeight="1">
      <c r="B157" s="144" t="s">
        <v>127</v>
      </c>
      <c r="C157" s="137"/>
      <c r="D157" s="40"/>
      <c r="E157" s="40" t="s">
        <v>128</v>
      </c>
      <c r="F157" s="343"/>
      <c r="G157" s="343"/>
      <c r="H157" s="343"/>
      <c r="I157" s="343"/>
      <c r="J157" s="343"/>
      <c r="K157" s="343"/>
      <c r="L157" s="348" t="s">
        <v>10</v>
      </c>
      <c r="M157" s="593">
        <f>SW_win.ser.201X_SEK</f>
        <v>78</v>
      </c>
      <c r="N157" s="301"/>
      <c r="O157" s="219"/>
      <c r="P157" s="168"/>
      <c r="Q157" s="304"/>
      <c r="R157" s="304"/>
      <c r="S157" s="201"/>
      <c r="U157" s="192"/>
      <c r="V157" s="192"/>
    </row>
    <row r="158" spans="2:22" s="187" customFormat="1" ht="25.5" customHeight="1">
      <c r="B158" s="141" t="s">
        <v>129</v>
      </c>
      <c r="C158" s="136"/>
      <c r="D158" s="32"/>
      <c r="E158" s="32" t="s">
        <v>130</v>
      </c>
      <c r="F158" s="340"/>
      <c r="G158" s="340"/>
      <c r="H158" s="340"/>
      <c r="I158" s="340"/>
      <c r="J158" s="340"/>
      <c r="K158" s="340"/>
      <c r="L158" s="342" t="s">
        <v>10</v>
      </c>
      <c r="M158" s="594">
        <f>SW_ms.sql.ser_SEK</f>
        <v>1498</v>
      </c>
      <c r="O158" s="219"/>
      <c r="P158" s="168"/>
      <c r="R158" s="304"/>
      <c r="S158" s="201"/>
    </row>
    <row r="159" spans="2:22" ht="25.5" customHeight="1">
      <c r="B159" s="144" t="s">
        <v>131</v>
      </c>
      <c r="C159" s="137"/>
      <c r="D159" s="40"/>
      <c r="E159" s="40" t="s">
        <v>132</v>
      </c>
      <c r="F159" s="343"/>
      <c r="G159" s="343"/>
      <c r="H159" s="343"/>
      <c r="I159" s="343"/>
      <c r="J159" s="343"/>
      <c r="K159" s="343"/>
      <c r="L159" s="348" t="s">
        <v>306</v>
      </c>
      <c r="M159" s="593" t="str">
        <f>SW_stackn_SEK</f>
        <v>Begär offert</v>
      </c>
      <c r="O159" s="219"/>
      <c r="P159" s="168"/>
      <c r="Q159" s="168"/>
      <c r="R159" s="304"/>
      <c r="S159" s="201"/>
    </row>
    <row r="160" spans="2:22" ht="25.5" customHeight="1">
      <c r="B160" s="141" t="s">
        <v>133</v>
      </c>
      <c r="C160" s="136"/>
      <c r="D160" s="32"/>
      <c r="E160" s="32" t="s">
        <v>134</v>
      </c>
      <c r="F160" s="340"/>
      <c r="G160" s="340"/>
      <c r="H160" s="340"/>
      <c r="I160" s="340"/>
      <c r="J160" s="340"/>
      <c r="K160" s="340"/>
      <c r="L160" s="351" t="s">
        <v>95</v>
      </c>
      <c r="M160" s="594" t="str">
        <f>SW_nextcloud_SEK</f>
        <v>Begär offert</v>
      </c>
      <c r="N160" s="301"/>
      <c r="O160" s="219"/>
      <c r="P160" s="168"/>
      <c r="Q160" s="304"/>
      <c r="R160" s="304"/>
      <c r="S160" s="201"/>
      <c r="U160" s="192"/>
      <c r="V160" s="192"/>
    </row>
    <row r="161" spans="2:19" s="187" customFormat="1" ht="25.5" customHeight="1">
      <c r="B161" s="144" t="s">
        <v>135</v>
      </c>
      <c r="C161" s="137"/>
      <c r="D161" s="40"/>
      <c r="E161" s="40" t="s">
        <v>136</v>
      </c>
      <c r="F161" s="343"/>
      <c r="G161" s="343"/>
      <c r="H161" s="343"/>
      <c r="I161" s="343"/>
      <c r="J161" s="343"/>
      <c r="K161" s="343"/>
      <c r="L161" s="345" t="s">
        <v>95</v>
      </c>
      <c r="M161" s="593" t="str">
        <f>SW_suse_SEK</f>
        <v>Begär offert</v>
      </c>
      <c r="O161" s="219"/>
      <c r="P161" s="168"/>
      <c r="R161" s="304"/>
      <c r="S161" s="201"/>
    </row>
    <row r="162" spans="2:19" ht="25.5" customHeight="1">
      <c r="B162" s="141" t="s">
        <v>137</v>
      </c>
      <c r="C162" s="136"/>
      <c r="D162" s="32"/>
      <c r="E162" s="32" t="s">
        <v>138</v>
      </c>
      <c r="F162" s="340"/>
      <c r="G162" s="340"/>
      <c r="H162" s="340"/>
      <c r="I162" s="340"/>
      <c r="J162" s="340"/>
      <c r="K162" s="340"/>
      <c r="L162" s="351" t="s">
        <v>95</v>
      </c>
      <c r="M162" s="594" t="str">
        <f>SW_cluster.control_SEK</f>
        <v>3x instanspris</v>
      </c>
      <c r="O162" s="219"/>
      <c r="P162" s="168"/>
      <c r="Q162" s="168"/>
      <c r="R162" s="304"/>
      <c r="S162" s="201"/>
    </row>
    <row r="163" spans="2:19" ht="25.5" customHeight="1">
      <c r="B163" s="144" t="s">
        <v>139</v>
      </c>
      <c r="C163" s="137"/>
      <c r="D163" s="40"/>
      <c r="E163" s="40" t="s">
        <v>140</v>
      </c>
      <c r="F163" s="343"/>
      <c r="G163" s="343"/>
      <c r="H163" s="343"/>
      <c r="I163" s="343"/>
      <c r="J163" s="343"/>
      <c r="K163" s="343"/>
      <c r="L163" s="348" t="s">
        <v>143</v>
      </c>
      <c r="M163" s="593">
        <f>SW_backup.ninja_SEK</f>
        <v>400</v>
      </c>
      <c r="O163" s="219"/>
      <c r="P163" s="168"/>
      <c r="Q163" s="168"/>
      <c r="R163" s="304"/>
      <c r="S163" s="201"/>
    </row>
    <row r="164" spans="2:19" ht="25.5" customHeight="1">
      <c r="B164" s="109"/>
      <c r="C164" s="106"/>
      <c r="D164" s="107"/>
      <c r="E164" s="108"/>
      <c r="F164" s="358"/>
      <c r="G164" s="358"/>
      <c r="H164" s="358"/>
      <c r="I164" s="358"/>
      <c r="J164" s="358"/>
      <c r="K164" s="358"/>
      <c r="L164" s="359"/>
      <c r="M164" s="361"/>
      <c r="O164" s="219"/>
      <c r="P164" s="203"/>
      <c r="Q164" s="168"/>
      <c r="R164" s="304"/>
      <c r="S164" s="201"/>
    </row>
    <row r="165" spans="2:19" ht="25.5" customHeight="1">
      <c r="B165" s="516"/>
      <c r="J165" s="202"/>
      <c r="K165" s="202"/>
      <c r="L165" s="20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449" t="s">
        <v>249</v>
      </c>
      <c r="C166" s="15"/>
      <c r="D166" s="15"/>
      <c r="F166" s="212"/>
      <c r="G166" s="212"/>
      <c r="H166" s="212"/>
      <c r="I166" s="212"/>
      <c r="J166" s="212"/>
      <c r="K166" s="212"/>
      <c r="L166" s="212"/>
      <c r="M166" s="202"/>
      <c r="N166" s="168"/>
      <c r="O166" s="219"/>
      <c r="P166" s="168"/>
      <c r="Q166" s="349"/>
      <c r="R166" s="304"/>
      <c r="S166" s="201"/>
    </row>
    <row r="167" spans="2:19" ht="25.5" customHeight="1">
      <c r="B167" s="514" t="s">
        <v>211</v>
      </c>
      <c r="C167" s="25"/>
      <c r="D167" s="25"/>
      <c r="E167" s="25" t="s">
        <v>283</v>
      </c>
      <c r="F167" s="284"/>
      <c r="G167" s="284"/>
      <c r="H167" s="284"/>
      <c r="I167" s="284"/>
      <c r="J167" s="284"/>
      <c r="K167" s="284"/>
      <c r="L167" s="588"/>
      <c r="M167" s="588" t="s">
        <v>276</v>
      </c>
      <c r="N167" s="168"/>
      <c r="O167" s="219"/>
      <c r="P167" s="168"/>
      <c r="Q167" s="349"/>
      <c r="R167" s="304"/>
      <c r="S167" s="201"/>
    </row>
    <row r="168" spans="2:19" ht="25.5" customHeight="1">
      <c r="B168" s="141" t="s">
        <v>421</v>
      </c>
      <c r="C168" s="136"/>
      <c r="D168" s="32"/>
      <c r="E168" s="32" t="s">
        <v>423</v>
      </c>
      <c r="F168" s="340"/>
      <c r="G168" s="340"/>
      <c r="H168" s="340"/>
      <c r="I168" s="340"/>
      <c r="J168" s="340"/>
      <c r="K168" s="340"/>
      <c r="L168" s="341"/>
      <c r="M168" s="617">
        <f>PAAS_man.kubernetes24_SEK</f>
        <v>24000</v>
      </c>
      <c r="N168" s="168"/>
      <c r="O168" s="219"/>
      <c r="P168" s="168"/>
      <c r="Q168" s="349"/>
      <c r="R168" s="304"/>
      <c r="S168" s="201"/>
    </row>
    <row r="169" spans="2:19" ht="25.5" customHeight="1">
      <c r="B169" s="144" t="s">
        <v>422</v>
      </c>
      <c r="C169" s="137"/>
      <c r="D169" s="40"/>
      <c r="E169" s="40" t="s">
        <v>424</v>
      </c>
      <c r="F169" s="343"/>
      <c r="G169" s="343"/>
      <c r="H169" s="343"/>
      <c r="I169" s="343"/>
      <c r="J169" s="343"/>
      <c r="K169" s="343"/>
      <c r="L169" s="344"/>
      <c r="M169" s="618">
        <f>PAAS_man.kubernetes8_SEK</f>
        <v>15000</v>
      </c>
      <c r="N169" s="168"/>
      <c r="O169" s="219"/>
      <c r="P169" s="168"/>
      <c r="Q169" s="349"/>
      <c r="R169" s="304"/>
      <c r="S169" s="201"/>
    </row>
    <row r="170" spans="2:19" ht="25.5" customHeight="1">
      <c r="B170" s="141" t="s">
        <v>144</v>
      </c>
      <c r="C170" s="136"/>
      <c r="D170" s="32"/>
      <c r="E170" s="32" t="s">
        <v>250</v>
      </c>
      <c r="F170" s="340"/>
      <c r="G170" s="340"/>
      <c r="H170" s="340"/>
      <c r="I170" s="340"/>
      <c r="J170" s="340"/>
      <c r="K170" s="340"/>
      <c r="L170" s="341"/>
      <c r="M170" s="619" t="s">
        <v>316</v>
      </c>
      <c r="N170" s="168"/>
      <c r="O170" s="219"/>
      <c r="P170" s="168"/>
      <c r="Q170" s="349"/>
      <c r="R170" s="304"/>
      <c r="S170" s="201"/>
    </row>
    <row r="171" spans="2:19" ht="25.5" customHeight="1">
      <c r="B171" s="144" t="s">
        <v>146</v>
      </c>
      <c r="C171" s="137"/>
      <c r="D171" s="40"/>
      <c r="E171" s="40" t="s">
        <v>147</v>
      </c>
      <c r="F171" s="343"/>
      <c r="G171" s="343"/>
      <c r="H171" s="343"/>
      <c r="I171" s="343"/>
      <c r="J171" s="343"/>
      <c r="K171" s="343"/>
      <c r="L171" s="344"/>
      <c r="M171" s="618" t="s">
        <v>316</v>
      </c>
      <c r="N171" s="168"/>
      <c r="O171" s="219"/>
      <c r="P171" s="168"/>
      <c r="Q171" s="349"/>
      <c r="R171" s="304"/>
      <c r="S171" s="201"/>
    </row>
    <row r="172" spans="2:19" ht="25.5" customHeight="1">
      <c r="B172" s="141" t="s">
        <v>149</v>
      </c>
      <c r="C172" s="136"/>
      <c r="D172" s="32"/>
      <c r="E172" s="32" t="s">
        <v>150</v>
      </c>
      <c r="F172" s="340"/>
      <c r="G172" s="340"/>
      <c r="H172" s="340"/>
      <c r="I172" s="340"/>
      <c r="J172" s="340"/>
      <c r="K172" s="340"/>
      <c r="L172" s="341"/>
      <c r="M172" s="619" t="s">
        <v>316</v>
      </c>
      <c r="N172" s="168"/>
      <c r="O172" s="219"/>
      <c r="P172" s="168"/>
      <c r="Q172" s="349"/>
      <c r="R172" s="304"/>
      <c r="S172" s="201"/>
    </row>
    <row r="173" spans="2:19" ht="25.5" customHeight="1">
      <c r="B173" s="144" t="s">
        <v>152</v>
      </c>
      <c r="C173" s="137"/>
      <c r="D173" s="40"/>
      <c r="E173" s="40" t="s">
        <v>153</v>
      </c>
      <c r="F173" s="343"/>
      <c r="G173" s="343"/>
      <c r="H173" s="343"/>
      <c r="I173" s="343"/>
      <c r="J173" s="343"/>
      <c r="K173" s="343"/>
      <c r="L173" s="344"/>
      <c r="M173" s="620" t="s">
        <v>316</v>
      </c>
      <c r="N173" s="168"/>
      <c r="O173" s="219"/>
      <c r="P173" s="168"/>
      <c r="Q173" s="349"/>
      <c r="R173" s="304"/>
      <c r="S173" s="201"/>
    </row>
    <row r="174" spans="2:19" ht="25.5" customHeight="1">
      <c r="B174" s="106"/>
      <c r="C174" s="106"/>
      <c r="D174" s="430"/>
      <c r="E174" s="108"/>
      <c r="F174" s="358"/>
      <c r="G174" s="358"/>
      <c r="H174" s="358"/>
      <c r="I174" s="358"/>
      <c r="J174" s="358"/>
      <c r="K174" s="358"/>
      <c r="L174" s="359"/>
      <c r="M174" s="361"/>
      <c r="N174" s="168"/>
      <c r="O174" s="219"/>
      <c r="P174" s="168"/>
      <c r="Q174" s="349"/>
      <c r="R174" s="304"/>
      <c r="S174" s="201"/>
    </row>
    <row r="175" spans="2:19" ht="25.5" customHeight="1">
      <c r="B175" s="137"/>
      <c r="C175" s="137"/>
      <c r="D175" s="40"/>
      <c r="E175" s="33"/>
      <c r="F175" s="343"/>
      <c r="G175" s="344"/>
      <c r="H175" s="348"/>
      <c r="I175" s="596"/>
      <c r="M175" s="304"/>
      <c r="N175" s="201"/>
      <c r="O175" s="219"/>
    </row>
    <row r="176" spans="2:19" ht="25.5" customHeight="1">
      <c r="B176" s="30"/>
      <c r="C176" s="28"/>
      <c r="D176" s="28"/>
      <c r="E176" s="28"/>
      <c r="F176" s="324"/>
      <c r="G176" s="325"/>
      <c r="H176" s="323"/>
      <c r="I176" s="301"/>
      <c r="J176" s="301"/>
      <c r="K176" s="326"/>
      <c r="L176" s="304"/>
      <c r="M176" s="304"/>
      <c r="N176" s="201"/>
      <c r="O176" s="219"/>
      <c r="P176" s="192"/>
      <c r="Q176" s="192"/>
    </row>
    <row r="177" spans="2:22" s="187" customFormat="1" ht="25.5" customHeight="1">
      <c r="B177" s="698" t="s">
        <v>307</v>
      </c>
      <c r="C177" s="698"/>
      <c r="D177" s="698"/>
      <c r="E177" s="698"/>
      <c r="F177" s="698"/>
      <c r="G177" s="698"/>
      <c r="H177" s="363"/>
      <c r="J177" s="189"/>
      <c r="K177" s="189"/>
      <c r="M177" s="304"/>
      <c r="N177" s="201"/>
      <c r="O177" s="219"/>
    </row>
    <row r="178" spans="2:22" s="187" customFormat="1" ht="25.5" customHeight="1">
      <c r="B178" s="698"/>
      <c r="C178" s="698"/>
      <c r="D178" s="698"/>
      <c r="E178" s="698"/>
      <c r="F178" s="698"/>
      <c r="G178" s="698"/>
      <c r="H178" s="363"/>
      <c r="J178" s="189"/>
      <c r="K178" s="189"/>
      <c r="M178" s="304"/>
      <c r="N178" s="201"/>
      <c r="O178" s="219"/>
    </row>
    <row r="179" spans="2:22" s="187" customFormat="1" ht="25.5" customHeight="1">
      <c r="B179" s="698"/>
      <c r="C179" s="698"/>
      <c r="D179" s="698"/>
      <c r="E179" s="698"/>
      <c r="F179" s="698"/>
      <c r="G179" s="698"/>
      <c r="H179" s="363"/>
      <c r="J179" s="189"/>
      <c r="K179" s="189"/>
      <c r="M179" s="304"/>
      <c r="N179" s="201"/>
      <c r="O179" s="219"/>
    </row>
    <row r="180" spans="2:22" s="187" customFormat="1" ht="25.5" customHeight="1">
      <c r="B180" s="700" t="s">
        <v>292</v>
      </c>
      <c r="C180" s="700"/>
      <c r="D180" s="700"/>
      <c r="E180" s="700"/>
      <c r="F180" s="700"/>
      <c r="H180" s="363"/>
      <c r="J180" s="189"/>
      <c r="K180" s="189"/>
      <c r="M180" s="304"/>
      <c r="N180" s="201"/>
      <c r="O180" s="219"/>
    </row>
    <row r="181" spans="2:22" s="187" customFormat="1" ht="25.5" customHeight="1">
      <c r="B181" s="704"/>
      <c r="C181" s="704"/>
      <c r="D181" s="704"/>
      <c r="E181" s="704"/>
      <c r="F181" s="704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s="187" customFormat="1" ht="25.5" customHeight="1">
      <c r="B182" s="140"/>
      <c r="C182" s="140"/>
      <c r="D182" s="140"/>
      <c r="E182" s="140"/>
      <c r="F182" s="581"/>
      <c r="G182" s="194"/>
      <c r="H182" s="195"/>
      <c r="I182" s="194"/>
      <c r="J182" s="196"/>
      <c r="K182" s="197"/>
      <c r="L182" s="194"/>
      <c r="M182" s="304"/>
      <c r="N182" s="201"/>
      <c r="O182" s="219"/>
    </row>
    <row r="183" spans="2:22" ht="25.5" customHeight="1">
      <c r="B183" s="449" t="s">
        <v>155</v>
      </c>
      <c r="C183" s="15"/>
      <c r="D183" s="15"/>
      <c r="F183" s="212"/>
      <c r="G183" s="212"/>
      <c r="H183" s="212"/>
      <c r="I183" s="212"/>
      <c r="J183" s="212"/>
      <c r="K183" s="212"/>
      <c r="L183" s="212"/>
      <c r="M183" s="202"/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514" t="s">
        <v>211</v>
      </c>
      <c r="C184" s="25"/>
      <c r="D184" s="25" t="s">
        <v>283</v>
      </c>
      <c r="E184" s="139"/>
      <c r="F184" s="284"/>
      <c r="G184" s="588"/>
      <c r="H184" s="588"/>
      <c r="I184" s="588"/>
      <c r="J184" s="588"/>
      <c r="K184" s="337" t="s">
        <v>308</v>
      </c>
      <c r="L184" s="337"/>
      <c r="M184" s="588" t="s">
        <v>93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1" t="s">
        <v>156</v>
      </c>
      <c r="C185" s="136"/>
      <c r="D185" s="32" t="s">
        <v>157</v>
      </c>
      <c r="E185" s="42"/>
      <c r="F185" s="340"/>
      <c r="G185" s="341"/>
      <c r="H185" s="341"/>
      <c r="I185" s="341"/>
      <c r="J185" s="341"/>
      <c r="K185" s="351" t="s">
        <v>95</v>
      </c>
      <c r="L185" s="351"/>
      <c r="M185" s="480">
        <v>0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4" t="s">
        <v>158</v>
      </c>
      <c r="C186" s="137"/>
      <c r="D186" s="40" t="s">
        <v>159</v>
      </c>
      <c r="E186" s="33"/>
      <c r="F186" s="343"/>
      <c r="G186" s="344"/>
      <c r="H186" s="344"/>
      <c r="I186" s="344"/>
      <c r="J186" s="344"/>
      <c r="K186" s="348" t="s">
        <v>252</v>
      </c>
      <c r="L186" s="348"/>
      <c r="M186" s="479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41" t="s">
        <v>162</v>
      </c>
      <c r="C187" s="136"/>
      <c r="D187" s="32" t="s">
        <v>163</v>
      </c>
      <c r="E187" s="42"/>
      <c r="F187" s="340"/>
      <c r="G187" s="341"/>
      <c r="H187" s="341"/>
      <c r="I187" s="341"/>
      <c r="J187" s="341"/>
      <c r="K187" s="342" t="s">
        <v>309</v>
      </c>
      <c r="L187" s="342"/>
      <c r="M187" s="480" t="s">
        <v>310</v>
      </c>
      <c r="N187" s="301"/>
      <c r="O187" s="219"/>
      <c r="Q187" s="304"/>
      <c r="R187" s="304"/>
      <c r="S187" s="201"/>
      <c r="U187" s="192"/>
      <c r="V187" s="192"/>
    </row>
    <row r="188" spans="2:22" ht="25.5" customHeight="1">
      <c r="B188" s="109"/>
      <c r="C188" s="106"/>
      <c r="D188" s="430" t="s">
        <v>256</v>
      </c>
      <c r="E188" s="108"/>
      <c r="F188" s="358"/>
      <c r="G188" s="359"/>
      <c r="H188" s="359"/>
      <c r="I188" s="359"/>
      <c r="J188" s="359"/>
      <c r="K188" s="360"/>
      <c r="L188" s="360"/>
      <c r="M188" s="36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144"/>
      <c r="C189" s="137"/>
      <c r="D189" s="40"/>
      <c r="E189" s="33"/>
      <c r="F189" s="343"/>
      <c r="G189" s="344"/>
      <c r="H189" s="344"/>
      <c r="I189" s="344"/>
      <c r="J189" s="344"/>
      <c r="K189" s="348"/>
      <c r="L189" s="348"/>
      <c r="M189" s="596"/>
      <c r="N189" s="301"/>
      <c r="O189" s="219"/>
      <c r="P189" s="304"/>
      <c r="Q189" s="304"/>
      <c r="R189" s="304"/>
      <c r="S189" s="201"/>
      <c r="U189" s="192"/>
      <c r="V189" s="192"/>
    </row>
    <row r="190" spans="2:22" ht="25.5" customHeight="1">
      <c r="B190" s="449" t="s">
        <v>311</v>
      </c>
      <c r="C190" s="15"/>
      <c r="D190" s="15"/>
      <c r="F190" s="212"/>
      <c r="G190" s="212"/>
      <c r="H190" s="212"/>
      <c r="I190" s="212"/>
      <c r="J190" s="212"/>
      <c r="K190" s="354"/>
      <c r="L190" s="354"/>
      <c r="M190" s="202"/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514" t="s">
        <v>211</v>
      </c>
      <c r="C191" s="25"/>
      <c r="D191" s="25" t="s">
        <v>283</v>
      </c>
      <c r="E191" s="139"/>
      <c r="F191" s="284"/>
      <c r="G191" s="588"/>
      <c r="H191" s="588"/>
      <c r="I191" s="588"/>
      <c r="J191" s="588"/>
      <c r="K191" s="337" t="s">
        <v>308</v>
      </c>
      <c r="L191" s="337"/>
      <c r="M191" s="588" t="s">
        <v>93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1" t="s">
        <v>168</v>
      </c>
      <c r="C192" s="136"/>
      <c r="D192" s="32" t="s">
        <v>169</v>
      </c>
      <c r="E192" s="42"/>
      <c r="F192" s="340"/>
      <c r="G192" s="341"/>
      <c r="H192" s="341"/>
      <c r="I192" s="341"/>
      <c r="J192" s="341"/>
      <c r="K192" s="342" t="s">
        <v>309</v>
      </c>
      <c r="L192" s="342"/>
      <c r="M192" s="468">
        <f>PS_consult.jun_SEK</f>
        <v>1127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4" t="s">
        <v>170</v>
      </c>
      <c r="C193" s="137"/>
      <c r="D193" s="40" t="s">
        <v>171</v>
      </c>
      <c r="E193" s="33"/>
      <c r="F193" s="343"/>
      <c r="G193" s="344"/>
      <c r="H193" s="344"/>
      <c r="I193" s="344"/>
      <c r="J193" s="344"/>
      <c r="K193" s="348" t="s">
        <v>309</v>
      </c>
      <c r="L193" s="348"/>
      <c r="M193" s="469">
        <f>PS_consult.sen_SEK</f>
        <v>1374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1" t="s">
        <v>172</v>
      </c>
      <c r="C194" s="136"/>
      <c r="D194" s="32" t="s">
        <v>173</v>
      </c>
      <c r="E194" s="42"/>
      <c r="F194" s="340"/>
      <c r="G194" s="341"/>
      <c r="H194" s="341"/>
      <c r="I194" s="341"/>
      <c r="J194" s="341"/>
      <c r="K194" s="342" t="s">
        <v>309</v>
      </c>
      <c r="L194" s="342"/>
      <c r="M194" s="468">
        <f>PS_cloudarch.jun_SEK</f>
        <v>1277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4" t="s">
        <v>174</v>
      </c>
      <c r="C195" s="137"/>
      <c r="D195" s="40" t="s">
        <v>175</v>
      </c>
      <c r="E195" s="40"/>
      <c r="F195" s="357"/>
      <c r="G195" s="344"/>
      <c r="H195" s="344"/>
      <c r="I195" s="344"/>
      <c r="J195" s="344"/>
      <c r="K195" s="348" t="s">
        <v>309</v>
      </c>
      <c r="L195" s="348"/>
      <c r="M195" s="469">
        <f>PS_cloudarch.sen_SEK</f>
        <v>1374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1" t="s">
        <v>176</v>
      </c>
      <c r="C196" s="136"/>
      <c r="D196" s="32" t="s">
        <v>177</v>
      </c>
      <c r="E196" s="42"/>
      <c r="F196" s="340"/>
      <c r="G196" s="341"/>
      <c r="H196" s="341"/>
      <c r="I196" s="341"/>
      <c r="J196" s="341"/>
      <c r="K196" s="342" t="s">
        <v>309</v>
      </c>
      <c r="L196" s="342"/>
      <c r="M196" s="468">
        <f>PS_pm.jun_SEK</f>
        <v>1139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44" t="s">
        <v>178</v>
      </c>
      <c r="C197" s="137"/>
      <c r="D197" s="40" t="s">
        <v>179</v>
      </c>
      <c r="E197" s="33"/>
      <c r="F197" s="343"/>
      <c r="G197" s="344"/>
      <c r="H197" s="344"/>
      <c r="I197" s="344"/>
      <c r="J197" s="344"/>
      <c r="K197" s="348" t="s">
        <v>309</v>
      </c>
      <c r="L197" s="348"/>
      <c r="M197" s="469">
        <f>PS_pm.sen_SEK</f>
        <v>1374</v>
      </c>
      <c r="N197" s="301"/>
      <c r="O197" s="219"/>
      <c r="Q197" s="304"/>
      <c r="R197" s="304"/>
      <c r="S197" s="201"/>
      <c r="U197" s="192"/>
      <c r="V197" s="192"/>
    </row>
    <row r="198" spans="1:22" ht="25.5" customHeight="1">
      <c r="B198" s="109"/>
      <c r="C198" s="106"/>
      <c r="D198" s="430"/>
      <c r="E198" s="108"/>
      <c r="F198" s="358"/>
      <c r="G198" s="359"/>
      <c r="H198" s="359"/>
      <c r="I198" s="359"/>
      <c r="J198" s="359"/>
      <c r="K198" s="360"/>
      <c r="L198" s="360"/>
      <c r="M198" s="361"/>
      <c r="N198" s="301"/>
      <c r="O198" s="219"/>
      <c r="P198" s="304"/>
      <c r="Q198" s="304"/>
      <c r="R198" s="304"/>
      <c r="S198" s="201"/>
      <c r="U198" s="192"/>
      <c r="V198" s="192"/>
    </row>
    <row r="199" spans="1:22" ht="25.5" customHeight="1">
      <c r="B199" s="137"/>
      <c r="C199" s="137"/>
      <c r="D199" s="40"/>
      <c r="E199" s="33"/>
      <c r="F199" s="343"/>
      <c r="G199" s="344"/>
      <c r="H199" s="344"/>
      <c r="I199" s="344"/>
      <c r="J199" s="344"/>
      <c r="K199" s="348"/>
      <c r="L199" s="348"/>
      <c r="M199" s="596"/>
      <c r="N199" s="168"/>
      <c r="O199" s="219"/>
      <c r="P199" s="168"/>
      <c r="Q199" s="349"/>
      <c r="R199" s="304"/>
      <c r="S199" s="201"/>
    </row>
    <row r="200" spans="1:22" ht="25.5" customHeight="1">
      <c r="B200" s="449" t="s">
        <v>312</v>
      </c>
      <c r="C200" s="15"/>
      <c r="D200" s="15"/>
      <c r="F200" s="212"/>
      <c r="G200" s="212"/>
      <c r="H200" s="212"/>
      <c r="I200" s="212"/>
      <c r="J200" s="212"/>
      <c r="K200" s="354"/>
      <c r="L200" s="354"/>
      <c r="M200" s="202"/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514" t="s">
        <v>211</v>
      </c>
      <c r="C201" s="25"/>
      <c r="D201" s="25" t="s">
        <v>283</v>
      </c>
      <c r="E201" s="139"/>
      <c r="F201" s="284"/>
      <c r="G201" s="337" t="s">
        <v>313</v>
      </c>
      <c r="H201" s="337"/>
      <c r="I201" s="337"/>
      <c r="J201" s="337"/>
      <c r="K201" s="337" t="s">
        <v>308</v>
      </c>
      <c r="L201" s="337"/>
      <c r="M201" s="588" t="s">
        <v>93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1" t="s">
        <v>183</v>
      </c>
      <c r="C202" s="136"/>
      <c r="D202" s="32" t="s">
        <v>314</v>
      </c>
      <c r="E202" s="42"/>
      <c r="F202" s="340"/>
      <c r="G202" s="342" t="s">
        <v>261</v>
      </c>
      <c r="H202" s="342"/>
      <c r="I202" s="342"/>
      <c r="J202" s="342"/>
      <c r="K202" s="342" t="s">
        <v>315</v>
      </c>
      <c r="L202" s="342"/>
      <c r="M202" s="480" t="s">
        <v>316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4" t="s">
        <v>187</v>
      </c>
      <c r="C203" s="137"/>
      <c r="D203" s="40" t="s">
        <v>317</v>
      </c>
      <c r="E203" s="33"/>
      <c r="F203" s="343"/>
      <c r="G203" s="348" t="s">
        <v>261</v>
      </c>
      <c r="H203" s="348"/>
      <c r="I203" s="348"/>
      <c r="J203" s="348"/>
      <c r="K203" s="348" t="s">
        <v>315</v>
      </c>
      <c r="L203" s="348"/>
      <c r="M203" s="479" t="s">
        <v>316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1" t="s">
        <v>189</v>
      </c>
      <c r="C204" s="136"/>
      <c r="D204" s="32" t="s">
        <v>318</v>
      </c>
      <c r="E204" s="42"/>
      <c r="F204" s="340"/>
      <c r="G204" s="342" t="s">
        <v>265</v>
      </c>
      <c r="H204" s="342"/>
      <c r="I204" s="342"/>
      <c r="J204" s="342"/>
      <c r="K204" s="342" t="s">
        <v>315</v>
      </c>
      <c r="L204" s="342"/>
      <c r="M204" s="480" t="s">
        <v>316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44" t="s">
        <v>192</v>
      </c>
      <c r="C205" s="137"/>
      <c r="D205" s="40" t="s">
        <v>319</v>
      </c>
      <c r="E205" s="33"/>
      <c r="F205" s="343"/>
      <c r="G205" s="348" t="s">
        <v>265</v>
      </c>
      <c r="H205" s="348"/>
      <c r="I205" s="348"/>
      <c r="J205" s="348"/>
      <c r="K205" s="348" t="s">
        <v>315</v>
      </c>
      <c r="L205" s="348"/>
      <c r="M205" s="479" t="s">
        <v>316</v>
      </c>
      <c r="N205" s="301"/>
      <c r="O205" s="219"/>
      <c r="Q205" s="304"/>
      <c r="R205" s="304"/>
      <c r="S205" s="201"/>
      <c r="U205" s="192"/>
      <c r="V205" s="192"/>
    </row>
    <row r="206" spans="1:22" ht="25.5" customHeight="1">
      <c r="B206" s="106"/>
      <c r="C206" s="106"/>
      <c r="D206" s="430"/>
      <c r="E206" s="108"/>
      <c r="F206" s="358"/>
      <c r="G206" s="359"/>
      <c r="H206" s="359"/>
      <c r="I206" s="359"/>
      <c r="J206" s="359"/>
      <c r="K206" s="359"/>
      <c r="L206" s="359"/>
      <c r="M206" s="361"/>
      <c r="N206" s="301"/>
      <c r="O206" s="219"/>
      <c r="P206" s="304"/>
      <c r="Q206" s="304"/>
      <c r="R206" s="304"/>
      <c r="S206" s="201"/>
      <c r="U206" s="192"/>
      <c r="V206" s="192"/>
    </row>
    <row r="207" spans="1:22" ht="25.5" customHeight="1">
      <c r="B207" s="30"/>
      <c r="C207" s="28"/>
      <c r="D207" s="28"/>
      <c r="E207" s="28"/>
      <c r="F207" s="324"/>
      <c r="G207" s="325"/>
      <c r="H207" s="301"/>
      <c r="I207" s="301"/>
      <c r="J207" s="301"/>
      <c r="K207" s="326"/>
      <c r="L207" s="304"/>
      <c r="M207" s="304"/>
      <c r="N207" s="201"/>
      <c r="O207" s="219"/>
      <c r="P207" s="192"/>
      <c r="Q207" s="192"/>
    </row>
    <row r="208" spans="1:22" ht="25.5" customHeight="1">
      <c r="A208" s="364"/>
      <c r="B208" s="68"/>
      <c r="C208" s="62"/>
      <c r="D208" s="62"/>
      <c r="E208" s="62"/>
      <c r="F208" s="365"/>
      <c r="G208" s="366"/>
      <c r="H208" s="367"/>
      <c r="I208" s="367"/>
      <c r="J208" s="368"/>
      <c r="K208" s="369"/>
      <c r="L208" s="369"/>
      <c r="M208" s="369"/>
      <c r="N208" s="370"/>
      <c r="O208" s="219"/>
      <c r="P208" s="192"/>
      <c r="Q208" s="192"/>
    </row>
    <row r="209" spans="1:22" s="187" customFormat="1" ht="25.5" customHeight="1">
      <c r="A209" s="169"/>
      <c r="B209" s="56"/>
      <c r="C209" s="56"/>
      <c r="D209" s="56"/>
      <c r="E209" s="56"/>
      <c r="F209" s="371"/>
      <c r="G209" s="372"/>
      <c r="H209" s="373"/>
      <c r="I209" s="373"/>
      <c r="J209" s="374"/>
      <c r="K209" s="375"/>
      <c r="L209" s="375"/>
      <c r="M209" s="375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1"/>
      <c r="G210" s="372"/>
      <c r="H210" s="373"/>
      <c r="I210" s="373"/>
      <c r="J210" s="374"/>
      <c r="K210" s="375"/>
      <c r="L210" s="375"/>
      <c r="M210" s="375"/>
      <c r="N210" s="169"/>
      <c r="O210" s="191"/>
    </row>
    <row r="211" spans="1:22" s="187" customFormat="1" ht="25.5" customHeight="1">
      <c r="A211" s="169"/>
      <c r="B211" s="56"/>
      <c r="C211" s="56"/>
      <c r="D211" s="56"/>
      <c r="E211" s="56"/>
      <c r="F211" s="371"/>
      <c r="G211" s="372"/>
      <c r="H211" s="373"/>
      <c r="I211" s="373"/>
      <c r="J211" s="374"/>
      <c r="K211" s="375"/>
      <c r="L211" s="375"/>
      <c r="M211" s="375"/>
      <c r="N211" s="169"/>
      <c r="O211" s="191"/>
    </row>
    <row r="212" spans="1:22" s="187" customFormat="1" ht="25.5" customHeight="1">
      <c r="A212" s="169"/>
      <c r="B212" s="705" t="s">
        <v>320</v>
      </c>
      <c r="C212" s="705"/>
      <c r="D212" s="705"/>
      <c r="E212" s="705"/>
      <c r="F212" s="705"/>
      <c r="G212" s="705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705"/>
      <c r="C213" s="705"/>
      <c r="D213" s="705"/>
      <c r="E213" s="705"/>
      <c r="F213" s="705"/>
      <c r="G213" s="705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705"/>
      <c r="C214" s="705"/>
      <c r="D214" s="705"/>
      <c r="E214" s="705"/>
      <c r="F214" s="705"/>
      <c r="G214" s="705"/>
      <c r="H214" s="172"/>
      <c r="I214" s="169"/>
      <c r="J214" s="173"/>
      <c r="K214" s="169"/>
      <c r="L214" s="174"/>
      <c r="M214" s="174"/>
      <c r="N214" s="169"/>
      <c r="O214" s="191"/>
    </row>
    <row r="215" spans="1:22" s="187" customFormat="1" ht="25.5" customHeight="1">
      <c r="A215" s="169"/>
      <c r="B215" s="706" t="s">
        <v>321</v>
      </c>
      <c r="C215" s="706"/>
      <c r="D215" s="706"/>
      <c r="E215" s="706"/>
      <c r="F215" s="706"/>
      <c r="G215" s="169"/>
      <c r="H215" s="172"/>
      <c r="I215" s="169"/>
      <c r="J215" s="173"/>
      <c r="K215" s="169"/>
      <c r="L215" s="174"/>
      <c r="M215" s="174"/>
      <c r="N215" s="376"/>
      <c r="O215" s="199"/>
    </row>
    <row r="216" spans="1:22" s="187" customFormat="1" ht="25.5" customHeight="1">
      <c r="A216" s="169"/>
      <c r="B216" s="64"/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6"/>
      <c r="O216" s="199"/>
    </row>
    <row r="217" spans="1:22" s="187" customFormat="1" ht="25.5" customHeight="1">
      <c r="A217" s="169"/>
      <c r="B217" s="70" t="s">
        <v>322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6"/>
      <c r="O217" s="199"/>
    </row>
    <row r="218" spans="1:22" s="187" customFormat="1" ht="25.5" customHeight="1">
      <c r="A218" s="169"/>
      <c r="B218" s="451" t="s">
        <v>205</v>
      </c>
      <c r="C218" s="64"/>
      <c r="D218" s="64"/>
      <c r="E218" s="64"/>
      <c r="F218" s="170"/>
      <c r="G218" s="169"/>
      <c r="H218" s="172"/>
      <c r="I218" s="169"/>
      <c r="J218" s="173"/>
      <c r="K218" s="169"/>
      <c r="L218" s="174"/>
      <c r="M218" s="174"/>
      <c r="N218" s="376"/>
      <c r="O218" s="199"/>
    </row>
    <row r="219" spans="1:22" s="187" customFormat="1" ht="25.5" customHeight="1">
      <c r="A219" s="169"/>
      <c r="B219" s="71" t="s">
        <v>196</v>
      </c>
      <c r="C219" s="69"/>
      <c r="D219" s="69"/>
      <c r="E219" s="69"/>
      <c r="F219" s="377"/>
      <c r="G219" s="376"/>
      <c r="H219" s="378"/>
      <c r="I219" s="376"/>
      <c r="J219" s="380"/>
      <c r="K219" s="376"/>
      <c r="L219" s="381"/>
      <c r="M219" s="381"/>
      <c r="N219" s="376"/>
      <c r="O219" s="199"/>
    </row>
    <row r="220" spans="1:22" s="261" customFormat="1" ht="25.5" customHeight="1">
      <c r="A220" s="382"/>
      <c r="B220" s="142"/>
      <c r="C220" s="142"/>
      <c r="D220" s="142"/>
      <c r="E220" s="142"/>
      <c r="F220" s="592"/>
      <c r="G220" s="376"/>
      <c r="H220" s="378"/>
      <c r="I220" s="376"/>
      <c r="J220" s="380"/>
      <c r="K220" s="376"/>
      <c r="L220" s="381"/>
      <c r="M220" s="381"/>
      <c r="N220" s="382"/>
      <c r="O220" s="316"/>
      <c r="P220" s="383"/>
      <c r="Q220" s="287"/>
      <c r="R220" s="287"/>
      <c r="S220" s="287"/>
      <c r="T220" s="287"/>
      <c r="U220" s="287"/>
      <c r="V220" s="287"/>
    </row>
    <row r="221" spans="1:22" ht="25.5" customHeight="1">
      <c r="A221" s="384"/>
      <c r="B221" s="57" t="s">
        <v>323</v>
      </c>
      <c r="C221" s="58"/>
      <c r="D221" s="59"/>
      <c r="E221" s="58"/>
      <c r="F221" s="386"/>
      <c r="G221" s="386"/>
      <c r="H221" s="386"/>
      <c r="I221" s="386"/>
      <c r="J221" s="385"/>
      <c r="K221" s="385"/>
      <c r="L221" s="386" t="s">
        <v>320</v>
      </c>
      <c r="M221" s="387"/>
      <c r="N221" s="388"/>
      <c r="O221" s="205"/>
      <c r="P221" s="336"/>
    </row>
    <row r="222" spans="1:22" ht="25.5" customHeight="1">
      <c r="A222" s="384"/>
      <c r="B222" s="607" t="s">
        <v>199</v>
      </c>
      <c r="C222" s="670" t="str">
        <f>SUM(C67+C38)&amp;" vCPU"</f>
        <v>0 vCPU</v>
      </c>
      <c r="D222" s="670" t="str">
        <f>SUM(D38+D67)&amp;" GB RAM"</f>
        <v>0 GB RAM</v>
      </c>
      <c r="E222" s="670" t="str">
        <f>SUM(E38)&amp;" GB  Disk"</f>
        <v>0 GB  Disk</v>
      </c>
      <c r="F222" s="772" t="str">
        <f>SUM(E67)&amp;" GB NVME-Disk"</f>
        <v>0 GB NVME-Disk</v>
      </c>
      <c r="G222" s="772"/>
      <c r="H222" s="390"/>
      <c r="I222" s="390"/>
      <c r="J222" s="391"/>
      <c r="K222" s="391"/>
      <c r="L222" s="392">
        <f>L76+L84+L67+L38+M91</f>
        <v>0</v>
      </c>
      <c r="M222" s="293"/>
      <c r="N222" s="384"/>
      <c r="O222" s="205"/>
      <c r="P222" s="336"/>
    </row>
    <row r="223" spans="1:22" ht="25.5" customHeight="1">
      <c r="A223" s="384"/>
      <c r="B223" s="608" t="s">
        <v>200</v>
      </c>
      <c r="C223" s="608"/>
      <c r="D223" s="74"/>
      <c r="E223" s="75"/>
      <c r="F223" s="393"/>
      <c r="G223" s="394"/>
      <c r="H223" s="394"/>
      <c r="I223" s="394"/>
      <c r="J223" s="395"/>
      <c r="K223" s="395"/>
      <c r="L223" s="396">
        <f>M112</f>
        <v>0</v>
      </c>
      <c r="M223" s="293"/>
      <c r="N223" s="384"/>
      <c r="O223" s="205"/>
      <c r="P223" s="336"/>
    </row>
    <row r="224" spans="1:22" ht="25.5" customHeight="1">
      <c r="A224" s="384"/>
      <c r="B224" s="143" t="s">
        <v>201</v>
      </c>
      <c r="C224" s="143"/>
      <c r="D224" s="74"/>
      <c r="E224" s="75"/>
      <c r="F224" s="393"/>
      <c r="G224" s="394"/>
      <c r="H224" s="394"/>
      <c r="I224" s="394"/>
      <c r="J224" s="395"/>
      <c r="K224" s="395"/>
      <c r="L224" s="396">
        <f>M127</f>
        <v>0</v>
      </c>
      <c r="M224" s="293"/>
      <c r="N224" s="384"/>
      <c r="O224" s="205"/>
      <c r="P224" s="336"/>
    </row>
    <row r="225" spans="1:23" s="399" customFormat="1" ht="25.5" customHeight="1">
      <c r="A225" s="397"/>
      <c r="B225" s="522" t="s">
        <v>202</v>
      </c>
      <c r="C225" s="522"/>
      <c r="D225" s="35"/>
      <c r="E225" s="36"/>
      <c r="F225" s="333"/>
      <c r="G225" s="597"/>
      <c r="H225" s="597"/>
      <c r="I225" s="597"/>
      <c r="J225" s="319"/>
      <c r="K225" s="319"/>
      <c r="L225" s="321">
        <f>M76+M84+M67+M38</f>
        <v>0</v>
      </c>
      <c r="M225" s="293"/>
      <c r="N225" s="397"/>
      <c r="O225" s="398"/>
    </row>
    <row r="226" spans="1:23" ht="25.5" customHeight="1">
      <c r="A226" s="384"/>
      <c r="B226" s="60" t="s">
        <v>86</v>
      </c>
      <c r="C226" s="61"/>
      <c r="D226" s="61"/>
      <c r="E226" s="61"/>
      <c r="F226" s="400"/>
      <c r="G226" s="401"/>
      <c r="H226" s="401"/>
      <c r="I226" s="401"/>
      <c r="J226" s="621"/>
      <c r="K226" s="621"/>
      <c r="L226" s="621">
        <f t="shared" ref="L226" si="17">SUM(O222:O225)</f>
        <v>0</v>
      </c>
      <c r="M226" s="402"/>
      <c r="N226" s="384"/>
      <c r="O226" s="205"/>
    </row>
    <row r="227" spans="1:23" ht="25.5" customHeight="1">
      <c r="A227" s="384"/>
      <c r="B227" s="60"/>
      <c r="C227" s="61"/>
      <c r="D227" s="61"/>
      <c r="E227" s="61"/>
      <c r="F227" s="400"/>
      <c r="G227" s="401"/>
      <c r="H227" s="401"/>
      <c r="I227" s="401"/>
      <c r="J227" s="402"/>
      <c r="K227" s="402"/>
      <c r="L227" s="402"/>
      <c r="M227" s="402"/>
      <c r="N227" s="384"/>
      <c r="O227" s="205"/>
    </row>
    <row r="228" spans="1:23" ht="25.5" customHeight="1">
      <c r="A228" s="384"/>
      <c r="B228" s="32"/>
      <c r="C228" s="32"/>
      <c r="D228" s="38"/>
      <c r="E228" s="39"/>
      <c r="F228" s="341"/>
      <c r="G228" s="595"/>
      <c r="H228" s="340"/>
      <c r="I228" s="291"/>
      <c r="J228" s="291"/>
      <c r="K228" s="404"/>
      <c r="L228" s="293"/>
      <c r="M228" s="293"/>
      <c r="N228" s="384"/>
      <c r="O228" s="205"/>
    </row>
    <row r="229" spans="1:23" ht="25.5" customHeight="1">
      <c r="A229" s="405"/>
      <c r="B229" s="44"/>
      <c r="C229" s="44"/>
      <c r="D229" s="35"/>
      <c r="E229" s="36"/>
      <c r="F229" s="407"/>
      <c r="G229" s="597"/>
      <c r="H229" s="406"/>
      <c r="I229" s="319"/>
      <c r="J229" s="319"/>
      <c r="K229" s="409"/>
      <c r="L229" s="321"/>
      <c r="M229" s="321"/>
      <c r="N229" s="410"/>
      <c r="O229" s="205"/>
    </row>
    <row r="230" spans="1:23" s="411" customFormat="1" ht="24" customHeight="1">
      <c r="B230" s="112"/>
      <c r="C230" s="112"/>
      <c r="D230" s="113"/>
      <c r="E230" s="114"/>
      <c r="F230" s="413"/>
      <c r="G230" s="414"/>
      <c r="H230" s="412"/>
      <c r="I230" s="415"/>
      <c r="J230" s="415"/>
      <c r="K230" s="417"/>
      <c r="L230" s="418"/>
      <c r="M230" s="418"/>
      <c r="N230" s="419"/>
    </row>
    <row r="231" spans="1:23" s="411" customFormat="1" ht="24" customHeight="1">
      <c r="B231" s="112"/>
      <c r="C231" s="112"/>
      <c r="D231" s="112"/>
      <c r="E231" s="112"/>
      <c r="F231" s="420"/>
      <c r="G231" s="421"/>
      <c r="H231" s="422"/>
      <c r="I231" s="422"/>
      <c r="J231" s="422"/>
      <c r="K231" s="423"/>
      <c r="L231" s="418"/>
      <c r="M231" s="418"/>
      <c r="N231" s="418"/>
      <c r="O231" s="419"/>
    </row>
    <row r="232" spans="1:23" s="411" customFormat="1" ht="24" customHeight="1">
      <c r="B232" s="112"/>
      <c r="C232" s="112"/>
      <c r="D232" s="112"/>
      <c r="E232" s="112"/>
      <c r="F232" s="420"/>
      <c r="G232" s="421"/>
      <c r="H232" s="422"/>
      <c r="I232" s="422"/>
      <c r="J232" s="422"/>
      <c r="K232" s="423"/>
      <c r="L232" s="418"/>
      <c r="M232" s="418"/>
      <c r="N232" s="418"/>
      <c r="O232" s="419"/>
    </row>
    <row r="233" spans="1:23" s="411" customFormat="1" ht="24" customHeight="1">
      <c r="B233" s="112"/>
      <c r="C233" s="112"/>
      <c r="D233" s="112"/>
      <c r="E233" s="112"/>
      <c r="F233" s="420"/>
      <c r="G233" s="421"/>
      <c r="H233" s="422"/>
      <c r="I233" s="422"/>
      <c r="J233" s="422"/>
      <c r="K233" s="423"/>
      <c r="L233" s="418"/>
      <c r="M233" s="418"/>
      <c r="N233" s="418"/>
      <c r="O233" s="419"/>
    </row>
    <row r="234" spans="1:23" s="411" customFormat="1" ht="24" customHeight="1">
      <c r="B234" s="112"/>
      <c r="C234" s="112"/>
      <c r="D234" s="112"/>
      <c r="E234" s="112"/>
      <c r="F234" s="420"/>
      <c r="G234" s="421"/>
      <c r="H234" s="422"/>
      <c r="I234" s="422"/>
      <c r="J234" s="422"/>
      <c r="K234" s="423"/>
      <c r="L234" s="418"/>
      <c r="M234" s="418"/>
      <c r="N234" s="418"/>
      <c r="O234" s="419"/>
    </row>
    <row r="235" spans="1:23" s="411" customFormat="1" ht="24" customHeight="1">
      <c r="B235" s="112"/>
      <c r="C235" s="112"/>
      <c r="D235" s="112"/>
      <c r="E235" s="112"/>
      <c r="F235" s="420"/>
      <c r="G235" s="421"/>
      <c r="H235" s="422"/>
      <c r="I235" s="422"/>
      <c r="J235" s="422"/>
      <c r="K235" s="423"/>
      <c r="L235" s="418"/>
      <c r="M235" s="418"/>
      <c r="N235" s="418"/>
      <c r="O235" s="419"/>
    </row>
    <row r="236" spans="1:23" s="411" customFormat="1" ht="24" customHeight="1">
      <c r="B236" s="112"/>
      <c r="C236" s="112"/>
      <c r="D236" s="112"/>
      <c r="E236" s="112"/>
      <c r="F236" s="420"/>
      <c r="G236" s="421"/>
      <c r="H236" s="422"/>
      <c r="I236" s="422"/>
      <c r="J236" s="422"/>
      <c r="K236" s="423"/>
      <c r="L236" s="418"/>
      <c r="M236" s="418"/>
      <c r="N236" s="418"/>
      <c r="O236" s="419"/>
    </row>
    <row r="237" spans="1:23" s="411" customFormat="1" ht="24" customHeight="1">
      <c r="B237" s="112"/>
      <c r="C237" s="112"/>
      <c r="D237" s="112"/>
      <c r="E237" s="112"/>
      <c r="F237" s="420"/>
      <c r="G237" s="421"/>
      <c r="H237" s="422"/>
      <c r="I237" s="422"/>
      <c r="J237" s="422"/>
      <c r="K237" s="423"/>
      <c r="L237" s="418"/>
      <c r="M237" s="418"/>
      <c r="N237" s="418"/>
      <c r="O237" s="419"/>
    </row>
    <row r="238" spans="1:23" s="411" customFormat="1" ht="24" customHeight="1">
      <c r="B238" s="112"/>
      <c r="C238" s="112"/>
      <c r="D238" s="112"/>
      <c r="E238" s="112"/>
      <c r="F238" s="420"/>
      <c r="G238" s="421"/>
      <c r="H238" s="422"/>
      <c r="I238" s="422"/>
      <c r="J238" s="422"/>
      <c r="K238" s="423"/>
      <c r="L238" s="418"/>
      <c r="M238" s="418"/>
      <c r="N238" s="418"/>
      <c r="O238" s="419"/>
    </row>
    <row r="239" spans="1:23" s="411" customFormat="1" ht="24" customHeight="1">
      <c r="B239" s="112"/>
      <c r="C239" s="112"/>
      <c r="D239" s="112"/>
      <c r="E239" s="112"/>
      <c r="F239" s="420"/>
      <c r="G239" s="421"/>
      <c r="H239" s="422"/>
      <c r="I239" s="422"/>
      <c r="J239" s="422"/>
      <c r="K239" s="423"/>
      <c r="L239" s="418"/>
      <c r="M239" s="418"/>
      <c r="N239" s="418"/>
      <c r="O239" s="419"/>
    </row>
    <row r="240" spans="1:23" s="424" customFormat="1" ht="24" customHeight="1">
      <c r="A240" s="411"/>
      <c r="B240" s="112"/>
      <c r="C240" s="112"/>
      <c r="D240" s="112"/>
      <c r="E240" s="112"/>
      <c r="F240" s="420"/>
      <c r="G240" s="421"/>
      <c r="H240" s="422"/>
      <c r="I240" s="422"/>
      <c r="J240" s="422"/>
      <c r="K240" s="423"/>
      <c r="L240" s="418"/>
      <c r="M240" s="418"/>
      <c r="N240" s="418"/>
      <c r="O240" s="419"/>
      <c r="P240" s="411"/>
      <c r="Q240" s="411"/>
      <c r="R240" s="411"/>
      <c r="S240" s="411"/>
      <c r="T240" s="411"/>
      <c r="U240" s="411"/>
      <c r="V240" s="411"/>
      <c r="W240" s="411"/>
    </row>
    <row r="241" spans="2:15" s="411" customFormat="1" ht="24" customHeight="1">
      <c r="B241" s="112"/>
      <c r="C241" s="112"/>
      <c r="D241" s="112"/>
      <c r="E241" s="112"/>
      <c r="F241" s="420"/>
      <c r="G241" s="421"/>
      <c r="H241" s="422"/>
      <c r="I241" s="422"/>
      <c r="J241" s="422"/>
      <c r="K241" s="423"/>
      <c r="L241" s="418"/>
      <c r="M241" s="418"/>
      <c r="N241" s="418"/>
      <c r="O241" s="419"/>
    </row>
    <row r="242" spans="2:15" s="411" customFormat="1" ht="24" customHeight="1">
      <c r="B242" s="112"/>
      <c r="C242" s="112"/>
      <c r="D242" s="112"/>
      <c r="E242" s="112"/>
      <c r="F242" s="420"/>
      <c r="G242" s="421"/>
      <c r="H242" s="422"/>
      <c r="I242" s="422"/>
      <c r="J242" s="422"/>
      <c r="K242" s="423"/>
      <c r="L242" s="418"/>
      <c r="M242" s="418"/>
      <c r="N242" s="418"/>
      <c r="O242" s="419"/>
    </row>
    <row r="243" spans="2:15" s="411" customFormat="1" ht="24" customHeight="1">
      <c r="B243" s="112"/>
      <c r="C243" s="112"/>
      <c r="D243" s="112"/>
      <c r="E243" s="112"/>
      <c r="F243" s="420"/>
      <c r="G243" s="421"/>
      <c r="H243" s="422"/>
      <c r="I243" s="422"/>
      <c r="J243" s="422"/>
      <c r="K243" s="423"/>
      <c r="L243" s="418"/>
      <c r="M243" s="418"/>
      <c r="N243" s="418"/>
      <c r="O243" s="419"/>
    </row>
    <row r="244" spans="2:15" s="411" customFormat="1" ht="24" customHeight="1">
      <c r="B244" s="112"/>
      <c r="C244" s="112"/>
      <c r="D244" s="112"/>
      <c r="E244" s="112"/>
      <c r="F244" s="420"/>
      <c r="G244" s="421"/>
      <c r="H244" s="422"/>
      <c r="I244" s="422"/>
      <c r="J244" s="422"/>
      <c r="K244" s="423"/>
      <c r="L244" s="418"/>
      <c r="M244" s="418"/>
      <c r="N244" s="418"/>
      <c r="O244" s="419"/>
    </row>
    <row r="245" spans="2:15" s="411" customFormat="1" ht="24" customHeight="1">
      <c r="B245" s="112"/>
      <c r="C245" s="112"/>
      <c r="D245" s="112"/>
      <c r="E245" s="112"/>
      <c r="F245" s="420"/>
      <c r="G245" s="421"/>
      <c r="H245" s="422"/>
      <c r="I245" s="422"/>
      <c r="J245" s="422"/>
      <c r="K245" s="423"/>
      <c r="L245" s="418"/>
      <c r="M245" s="418"/>
      <c r="N245" s="418"/>
      <c r="O245" s="419"/>
    </row>
    <row r="246" spans="2:15" s="411" customFormat="1" ht="24" customHeight="1">
      <c r="B246" s="112"/>
      <c r="C246" s="112"/>
      <c r="D246" s="112"/>
      <c r="E246" s="112"/>
      <c r="F246" s="420"/>
      <c r="G246" s="421"/>
      <c r="H246" s="422"/>
      <c r="I246" s="422"/>
      <c r="J246" s="422"/>
      <c r="K246" s="423"/>
      <c r="L246" s="418"/>
      <c r="M246" s="418"/>
      <c r="N246" s="418"/>
      <c r="O246" s="419"/>
    </row>
    <row r="247" spans="2:15" s="411" customFormat="1" ht="24" customHeight="1">
      <c r="B247" s="112"/>
      <c r="C247" s="112"/>
      <c r="D247" s="112"/>
      <c r="E247" s="112"/>
      <c r="F247" s="420"/>
      <c r="G247" s="421"/>
      <c r="H247" s="422"/>
      <c r="I247" s="422"/>
      <c r="J247" s="422"/>
      <c r="K247" s="423"/>
      <c r="L247" s="418"/>
      <c r="M247" s="418"/>
      <c r="N247" s="418"/>
      <c r="O247" s="419"/>
    </row>
    <row r="248" spans="2:15" s="411" customFormat="1" ht="24" customHeight="1">
      <c r="B248" s="112"/>
      <c r="C248" s="112"/>
      <c r="D248" s="112"/>
      <c r="E248" s="112"/>
      <c r="F248" s="420"/>
      <c r="G248" s="421"/>
      <c r="H248" s="422"/>
      <c r="I248" s="422"/>
      <c r="J248" s="422"/>
      <c r="K248" s="423"/>
      <c r="L248" s="418"/>
      <c r="M248" s="418"/>
      <c r="N248" s="418"/>
      <c r="O248" s="419"/>
    </row>
    <row r="249" spans="2:15" s="411" customFormat="1" ht="24" customHeight="1">
      <c r="B249" s="112"/>
      <c r="C249" s="112"/>
      <c r="D249" s="112"/>
      <c r="E249" s="112"/>
      <c r="F249" s="420"/>
      <c r="G249" s="421"/>
      <c r="H249" s="422"/>
      <c r="I249" s="422"/>
      <c r="J249" s="422"/>
      <c r="K249" s="423"/>
      <c r="L249" s="418"/>
      <c r="M249" s="418"/>
      <c r="N249" s="418"/>
      <c r="O249" s="419"/>
    </row>
    <row r="250" spans="2:15" s="411" customFormat="1" ht="24" customHeight="1">
      <c r="B250" s="112"/>
      <c r="C250" s="112"/>
      <c r="D250" s="112"/>
      <c r="E250" s="112"/>
      <c r="F250" s="420"/>
      <c r="G250" s="421"/>
      <c r="H250" s="422"/>
      <c r="I250" s="422"/>
      <c r="J250" s="422"/>
      <c r="K250" s="423"/>
      <c r="L250" s="418"/>
      <c r="M250" s="418"/>
      <c r="N250" s="418"/>
      <c r="O250" s="419"/>
    </row>
    <row r="251" spans="2:15" s="411" customFormat="1" ht="24" customHeight="1">
      <c r="B251" s="112"/>
      <c r="C251" s="112"/>
      <c r="D251" s="112"/>
      <c r="E251" s="112"/>
      <c r="F251" s="420"/>
      <c r="G251" s="421"/>
      <c r="H251" s="422"/>
      <c r="I251" s="422"/>
      <c r="J251" s="422"/>
      <c r="K251" s="423"/>
      <c r="L251" s="418"/>
      <c r="M251" s="418"/>
      <c r="N251" s="418"/>
      <c r="O251" s="419"/>
    </row>
    <row r="252" spans="2:15" s="411" customFormat="1" ht="24" customHeight="1">
      <c r="B252" s="112"/>
      <c r="C252" s="112"/>
      <c r="D252" s="112"/>
      <c r="E252" s="112"/>
      <c r="F252" s="420"/>
      <c r="G252" s="421"/>
      <c r="H252" s="422"/>
      <c r="I252" s="422"/>
      <c r="J252" s="422"/>
      <c r="K252" s="423"/>
      <c r="L252" s="418"/>
      <c r="M252" s="418"/>
      <c r="N252" s="418"/>
      <c r="O252" s="419"/>
    </row>
    <row r="253" spans="2:15" s="411" customFormat="1" ht="24" customHeight="1">
      <c r="B253" s="112"/>
      <c r="C253" s="112"/>
      <c r="D253" s="112"/>
      <c r="E253" s="112"/>
      <c r="F253" s="420"/>
      <c r="G253" s="421"/>
      <c r="H253" s="422"/>
      <c r="I253" s="422"/>
      <c r="J253" s="422"/>
      <c r="K253" s="423"/>
      <c r="L253" s="418"/>
      <c r="M253" s="418"/>
      <c r="N253" s="418"/>
      <c r="O253" s="419"/>
    </row>
    <row r="254" spans="2:15" s="411" customFormat="1" ht="24" customHeight="1">
      <c r="B254" s="112"/>
      <c r="C254" s="112"/>
      <c r="D254" s="112"/>
      <c r="E254" s="112"/>
      <c r="F254" s="420"/>
      <c r="G254" s="421"/>
      <c r="H254" s="422"/>
      <c r="I254" s="422"/>
      <c r="J254" s="422"/>
      <c r="K254" s="423"/>
      <c r="L254" s="418"/>
      <c r="M254" s="418"/>
      <c r="N254" s="418"/>
      <c r="O254" s="419"/>
    </row>
    <row r="255" spans="2:15" s="411" customFormat="1" ht="25.5" customHeight="1">
      <c r="B255" s="112"/>
      <c r="C255" s="112"/>
      <c r="D255" s="112"/>
      <c r="E255" s="112"/>
      <c r="F255" s="420"/>
      <c r="G255" s="421"/>
      <c r="H255" s="422"/>
      <c r="I255" s="422"/>
      <c r="J255" s="422"/>
      <c r="K255" s="423"/>
      <c r="L255" s="418"/>
      <c r="M255" s="418"/>
      <c r="N255" s="418"/>
      <c r="O255" s="419"/>
    </row>
    <row r="256" spans="2:15" s="411" customFormat="1" ht="25.5" customHeight="1">
      <c r="B256" s="112"/>
      <c r="C256" s="112"/>
      <c r="D256" s="112"/>
      <c r="E256" s="112"/>
      <c r="F256" s="420"/>
      <c r="G256" s="421"/>
      <c r="H256" s="422"/>
      <c r="I256" s="422"/>
      <c r="J256" s="422"/>
      <c r="K256" s="423"/>
      <c r="L256" s="418"/>
      <c r="M256" s="418"/>
      <c r="N256" s="418"/>
      <c r="O256" s="419"/>
    </row>
    <row r="257" spans="2:15" s="411" customFormat="1" ht="25.5" customHeight="1">
      <c r="B257" s="112"/>
      <c r="C257" s="112"/>
      <c r="D257" s="112"/>
      <c r="E257" s="112"/>
      <c r="F257" s="420"/>
      <c r="G257" s="421"/>
      <c r="H257" s="422"/>
      <c r="I257" s="422"/>
      <c r="J257" s="422"/>
      <c r="K257" s="423"/>
      <c r="L257" s="418"/>
      <c r="M257" s="418"/>
      <c r="N257" s="418"/>
      <c r="O257" s="419"/>
    </row>
    <row r="258" spans="2:15" s="411" customFormat="1" ht="25.5" customHeight="1">
      <c r="B258" s="112"/>
      <c r="C258" s="112"/>
      <c r="D258" s="112"/>
      <c r="E258" s="112"/>
      <c r="F258" s="420"/>
      <c r="G258" s="421"/>
      <c r="H258" s="422"/>
      <c r="I258" s="422"/>
      <c r="J258" s="422"/>
      <c r="K258" s="423"/>
      <c r="L258" s="418"/>
      <c r="M258" s="418"/>
      <c r="N258" s="418"/>
      <c r="O258" s="419"/>
    </row>
    <row r="259" spans="2:15" s="411" customFormat="1" ht="25.5" customHeight="1">
      <c r="B259" s="112"/>
      <c r="C259" s="112"/>
      <c r="D259" s="112"/>
      <c r="E259" s="112"/>
      <c r="F259" s="420"/>
      <c r="G259" s="421"/>
      <c r="H259" s="422"/>
      <c r="I259" s="422"/>
      <c r="J259" s="422"/>
      <c r="K259" s="423"/>
      <c r="L259" s="418"/>
      <c r="M259" s="418"/>
      <c r="N259" s="418"/>
      <c r="O259" s="419"/>
    </row>
    <row r="260" spans="2:15" s="411" customFormat="1" ht="25.5" customHeight="1">
      <c r="B260" s="118"/>
      <c r="C260" s="116"/>
      <c r="D260" s="116"/>
      <c r="E260" s="116"/>
      <c r="K260" s="425"/>
      <c r="M260" s="426"/>
      <c r="O260" s="419"/>
    </row>
    <row r="261" spans="2:15" s="411" customFormat="1" ht="25.5" customHeight="1">
      <c r="B261" s="118"/>
      <c r="C261" s="116"/>
      <c r="D261" s="116"/>
      <c r="E261" s="116"/>
      <c r="K261" s="425"/>
      <c r="M261" s="426"/>
      <c r="O261" s="419"/>
    </row>
    <row r="262" spans="2:15" s="411" customFormat="1" ht="25.5" customHeight="1">
      <c r="B262" s="118"/>
      <c r="C262" s="116"/>
      <c r="D262" s="116"/>
      <c r="E262" s="116"/>
      <c r="K262" s="425"/>
      <c r="M262" s="426"/>
      <c r="O262" s="419"/>
    </row>
    <row r="263" spans="2:15" s="411" customFormat="1" ht="25.5" customHeight="1">
      <c r="B263" s="118"/>
      <c r="C263" s="116"/>
      <c r="D263" s="116"/>
      <c r="E263" s="116"/>
      <c r="K263" s="425"/>
      <c r="M263" s="426"/>
      <c r="O263" s="419"/>
    </row>
    <row r="264" spans="2:15" s="411" customFormat="1" ht="25.5" customHeight="1">
      <c r="B264" s="118"/>
      <c r="C264" s="116"/>
      <c r="D264" s="116"/>
      <c r="E264" s="116"/>
      <c r="K264" s="425"/>
      <c r="M264" s="426"/>
      <c r="O264" s="419"/>
    </row>
    <row r="265" spans="2:15" s="411" customFormat="1" ht="25.5" customHeight="1">
      <c r="B265" s="118"/>
      <c r="C265" s="116"/>
      <c r="D265" s="116"/>
      <c r="E265" s="116"/>
      <c r="K265" s="425"/>
      <c r="M265" s="426"/>
      <c r="O265" s="419"/>
    </row>
    <row r="266" spans="2:15" s="411" customFormat="1" ht="25.5" customHeight="1">
      <c r="B266" s="118"/>
      <c r="C266" s="116"/>
      <c r="D266" s="116"/>
      <c r="E266" s="116"/>
      <c r="K266" s="425"/>
      <c r="M266" s="426"/>
      <c r="O266" s="419"/>
    </row>
    <row r="267" spans="2:15" s="411" customFormat="1" ht="25.5" customHeight="1">
      <c r="B267" s="118"/>
      <c r="C267" s="116"/>
      <c r="D267" s="116"/>
      <c r="E267" s="116"/>
      <c r="K267" s="425"/>
      <c r="M267" s="426"/>
      <c r="O267" s="419"/>
    </row>
    <row r="268" spans="2:15" s="411" customFormat="1" ht="25.5" customHeight="1">
      <c r="B268" s="118"/>
      <c r="C268" s="116"/>
      <c r="D268" s="116"/>
      <c r="E268" s="116"/>
      <c r="K268" s="425"/>
      <c r="M268" s="426"/>
      <c r="O268" s="419"/>
    </row>
    <row r="269" spans="2:15" s="411" customFormat="1" ht="25.5" customHeight="1">
      <c r="B269" s="118"/>
      <c r="C269" s="116"/>
      <c r="D269" s="116"/>
      <c r="E269" s="116"/>
      <c r="K269" s="425"/>
      <c r="M269" s="426"/>
      <c r="O269" s="419"/>
    </row>
    <row r="270" spans="2:15" s="411" customFormat="1" ht="25.5" customHeight="1">
      <c r="B270" s="118"/>
      <c r="C270" s="116"/>
      <c r="D270" s="116"/>
      <c r="E270" s="116"/>
      <c r="K270" s="425"/>
      <c r="M270" s="426"/>
      <c r="O270" s="419"/>
    </row>
    <row r="271" spans="2:15" s="411" customFormat="1" ht="25.5" customHeight="1">
      <c r="B271" s="118"/>
      <c r="C271" s="116"/>
      <c r="D271" s="116"/>
      <c r="E271" s="116"/>
      <c r="K271" s="425"/>
      <c r="M271" s="426"/>
      <c r="O271" s="419"/>
    </row>
    <row r="272" spans="2:15" s="411" customFormat="1" ht="25.5" customHeight="1">
      <c r="B272" s="118"/>
      <c r="C272" s="116"/>
      <c r="D272" s="116"/>
      <c r="E272" s="116"/>
      <c r="K272" s="425"/>
      <c r="M272" s="426"/>
      <c r="O272" s="419"/>
    </row>
    <row r="273" spans="2:15" s="411" customFormat="1" ht="25.5" customHeight="1">
      <c r="B273" s="118"/>
      <c r="C273" s="116"/>
      <c r="D273" s="116"/>
      <c r="E273" s="116"/>
      <c r="K273" s="425"/>
      <c r="M273" s="426"/>
      <c r="O273" s="419"/>
    </row>
    <row r="274" spans="2:15" s="411" customFormat="1" ht="25.5" customHeight="1">
      <c r="B274" s="118"/>
      <c r="C274" s="116"/>
      <c r="D274" s="116"/>
      <c r="E274" s="116"/>
      <c r="K274" s="425"/>
      <c r="M274" s="426"/>
      <c r="O274" s="419"/>
    </row>
    <row r="275" spans="2:15" s="411" customFormat="1" ht="25.5" customHeight="1">
      <c r="B275" s="118"/>
      <c r="C275" s="116"/>
      <c r="D275" s="116"/>
      <c r="E275" s="116"/>
      <c r="K275" s="425"/>
      <c r="M275" s="426"/>
      <c r="O275" s="419"/>
    </row>
    <row r="276" spans="2:15" s="411" customFormat="1" ht="25.5" customHeight="1">
      <c r="B276" s="118"/>
      <c r="C276" s="116"/>
      <c r="D276" s="116"/>
      <c r="E276" s="116"/>
      <c r="K276" s="425"/>
      <c r="M276" s="426"/>
      <c r="O276" s="419"/>
    </row>
    <row r="277" spans="2:15" s="411" customFormat="1" ht="25.5" customHeight="1">
      <c r="B277" s="118"/>
      <c r="C277" s="116"/>
      <c r="D277" s="116"/>
      <c r="E277" s="116"/>
      <c r="K277" s="425"/>
      <c r="M277" s="426"/>
      <c r="O277" s="419"/>
    </row>
    <row r="278" spans="2:15" s="411" customFormat="1" ht="25.5" customHeight="1">
      <c r="B278" s="118"/>
      <c r="C278" s="116"/>
      <c r="D278" s="116"/>
      <c r="E278" s="116"/>
      <c r="K278" s="425"/>
      <c r="M278" s="426"/>
      <c r="O278" s="419"/>
    </row>
    <row r="279" spans="2:15" s="411" customFormat="1" ht="25.5" customHeight="1">
      <c r="B279" s="118"/>
      <c r="C279" s="116"/>
      <c r="D279" s="116"/>
      <c r="E279" s="116"/>
      <c r="K279" s="425"/>
      <c r="M279" s="426"/>
      <c r="O279" s="419"/>
    </row>
    <row r="280" spans="2:15" s="411" customFormat="1" ht="25.5" customHeight="1">
      <c r="B280" s="118"/>
      <c r="C280" s="116"/>
      <c r="D280" s="116"/>
      <c r="E280" s="116"/>
      <c r="K280" s="425"/>
      <c r="M280" s="426"/>
      <c r="O280" s="419"/>
    </row>
    <row r="281" spans="2:15" s="411" customFormat="1" ht="25.5" customHeight="1">
      <c r="B281" s="118"/>
      <c r="C281" s="116"/>
      <c r="D281" s="116"/>
      <c r="E281" s="116"/>
      <c r="K281" s="425"/>
      <c r="M281" s="426"/>
      <c r="O281" s="419"/>
    </row>
    <row r="282" spans="2:15" s="411" customFormat="1" ht="25.5" customHeight="1">
      <c r="B282" s="118"/>
      <c r="C282" s="116"/>
      <c r="D282" s="116"/>
      <c r="E282" s="116"/>
      <c r="K282" s="425"/>
      <c r="M282" s="426"/>
      <c r="O282" s="419"/>
    </row>
    <row r="283" spans="2:15" s="411" customFormat="1" ht="25.5" customHeight="1">
      <c r="B283" s="118"/>
      <c r="C283" s="116"/>
      <c r="D283" s="116"/>
      <c r="E283" s="116"/>
      <c r="K283" s="425"/>
      <c r="M283" s="426"/>
      <c r="O283" s="419"/>
    </row>
    <row r="284" spans="2:15" s="411" customFormat="1" ht="25.5" customHeight="1">
      <c r="B284" s="118"/>
      <c r="C284" s="116"/>
      <c r="D284" s="116"/>
      <c r="E284" s="116"/>
      <c r="K284" s="425"/>
      <c r="M284" s="426"/>
      <c r="O284" s="419"/>
    </row>
    <row r="285" spans="2:15" s="411" customFormat="1" ht="25.5" customHeight="1">
      <c r="B285" s="118"/>
      <c r="C285" s="116"/>
      <c r="D285" s="116"/>
      <c r="E285" s="116"/>
      <c r="K285" s="425"/>
      <c r="M285" s="426"/>
      <c r="O285" s="419"/>
    </row>
    <row r="286" spans="2:15" s="411" customFormat="1" ht="25.5" customHeight="1">
      <c r="B286" s="118"/>
      <c r="C286" s="116"/>
      <c r="D286" s="116"/>
      <c r="E286" s="116"/>
      <c r="K286" s="425"/>
      <c r="M286" s="426"/>
      <c r="O286" s="419"/>
    </row>
    <row r="287" spans="2:15" s="411" customFormat="1" ht="25.5" customHeight="1">
      <c r="B287" s="118"/>
      <c r="C287" s="116"/>
      <c r="D287" s="116"/>
      <c r="E287" s="116"/>
      <c r="K287" s="425"/>
      <c r="M287" s="426"/>
      <c r="O287" s="419"/>
    </row>
    <row r="288" spans="2:15" s="411" customFormat="1" ht="25.5" customHeight="1">
      <c r="B288" s="118"/>
      <c r="C288" s="116"/>
      <c r="D288" s="116"/>
      <c r="E288" s="116"/>
      <c r="K288" s="425"/>
      <c r="M288" s="426"/>
      <c r="O288" s="419"/>
    </row>
    <row r="289" spans="2:15" s="411" customFormat="1" ht="25.5" customHeight="1">
      <c r="B289" s="118"/>
      <c r="C289" s="116"/>
      <c r="D289" s="116"/>
      <c r="E289" s="116"/>
      <c r="K289" s="425"/>
      <c r="M289" s="426"/>
      <c r="O289" s="419"/>
    </row>
    <row r="290" spans="2:15" s="411" customFormat="1" ht="25.5" customHeight="1">
      <c r="B290" s="118"/>
      <c r="C290" s="116"/>
      <c r="D290" s="116"/>
      <c r="E290" s="116"/>
      <c r="K290" s="425"/>
      <c r="M290" s="426"/>
      <c r="O290" s="419"/>
    </row>
    <row r="291" spans="2:15" s="411" customFormat="1" ht="25.5" customHeight="1">
      <c r="B291" s="118"/>
      <c r="C291" s="116"/>
      <c r="D291" s="116"/>
      <c r="E291" s="116"/>
      <c r="K291" s="425"/>
      <c r="M291" s="426"/>
      <c r="O291" s="419"/>
    </row>
    <row r="292" spans="2:15" s="411" customFormat="1" ht="25.5" customHeight="1">
      <c r="B292" s="118"/>
      <c r="C292" s="116"/>
      <c r="D292" s="116"/>
      <c r="E292" s="116"/>
      <c r="K292" s="425"/>
      <c r="M292" s="426"/>
      <c r="O292" s="419"/>
    </row>
    <row r="293" spans="2:15" s="411" customFormat="1" ht="25.5" customHeight="1">
      <c r="B293" s="118"/>
      <c r="C293" s="116"/>
      <c r="D293" s="116"/>
      <c r="E293" s="116"/>
      <c r="K293" s="425"/>
      <c r="M293" s="426"/>
      <c r="O293" s="419"/>
    </row>
    <row r="294" spans="2:15" s="411" customFormat="1" ht="25.5" customHeight="1">
      <c r="B294" s="118"/>
      <c r="C294" s="116"/>
      <c r="D294" s="116"/>
      <c r="E294" s="116"/>
      <c r="K294" s="425"/>
      <c r="M294" s="426"/>
      <c r="O294" s="419"/>
    </row>
    <row r="295" spans="2:15" s="411" customFormat="1" ht="25.5" customHeight="1">
      <c r="B295" s="118"/>
      <c r="C295" s="116"/>
      <c r="D295" s="116"/>
      <c r="E295" s="116"/>
      <c r="K295" s="425"/>
      <c r="M295" s="426"/>
      <c r="O295" s="419"/>
    </row>
    <row r="296" spans="2:15" s="411" customFormat="1" ht="25.5" customHeight="1">
      <c r="B296" s="118"/>
      <c r="C296" s="116"/>
      <c r="D296" s="116"/>
      <c r="E296" s="116"/>
      <c r="K296" s="425"/>
      <c r="M296" s="426"/>
      <c r="O296" s="419"/>
    </row>
    <row r="297" spans="2:15" s="411" customFormat="1" ht="25.5" customHeight="1">
      <c r="B297" s="118"/>
      <c r="C297" s="116"/>
      <c r="D297" s="116"/>
      <c r="E297" s="116"/>
      <c r="K297" s="425"/>
      <c r="M297" s="426"/>
      <c r="O297" s="419"/>
    </row>
    <row r="298" spans="2:15" s="411" customFormat="1" ht="25.5" customHeight="1">
      <c r="B298" s="118"/>
      <c r="C298" s="116"/>
      <c r="D298" s="116"/>
      <c r="E298" s="116"/>
      <c r="K298" s="425"/>
      <c r="M298" s="426"/>
      <c r="O298" s="419"/>
    </row>
    <row r="299" spans="2:15" s="411" customFormat="1" ht="25.5" customHeight="1">
      <c r="B299" s="118"/>
      <c r="C299" s="116"/>
      <c r="D299" s="116"/>
      <c r="E299" s="116"/>
      <c r="K299" s="425"/>
      <c r="M299" s="426"/>
      <c r="O299" s="419"/>
    </row>
    <row r="300" spans="2:15" s="411" customFormat="1" ht="25.5" customHeight="1">
      <c r="B300" s="118"/>
      <c r="C300" s="116"/>
      <c r="D300" s="116"/>
      <c r="E300" s="116"/>
      <c r="K300" s="425"/>
      <c r="M300" s="426"/>
      <c r="O300" s="419"/>
    </row>
    <row r="301" spans="2:15" s="411" customFormat="1" ht="25.5" customHeight="1">
      <c r="B301" s="118"/>
      <c r="C301" s="116"/>
      <c r="D301" s="116"/>
      <c r="E301" s="116"/>
      <c r="K301" s="425"/>
      <c r="M301" s="426"/>
      <c r="O301" s="419"/>
    </row>
    <row r="302" spans="2:15" s="411" customFormat="1" ht="25.5" customHeight="1">
      <c r="B302" s="118"/>
      <c r="C302" s="116"/>
      <c r="D302" s="116"/>
      <c r="E302" s="116"/>
      <c r="K302" s="425"/>
      <c r="M302" s="426"/>
      <c r="O302" s="419"/>
    </row>
    <row r="303" spans="2:15" s="411" customFormat="1" ht="25.5" customHeight="1">
      <c r="B303" s="118"/>
      <c r="C303" s="116"/>
      <c r="D303" s="116"/>
      <c r="E303" s="116"/>
      <c r="K303" s="425"/>
      <c r="M303" s="426"/>
      <c r="O303" s="419"/>
    </row>
    <row r="304" spans="2:15" s="411" customFormat="1" ht="25.5" customHeight="1">
      <c r="B304" s="118"/>
      <c r="C304" s="116"/>
      <c r="D304" s="116"/>
      <c r="E304" s="116"/>
      <c r="K304" s="425"/>
      <c r="M304" s="426"/>
      <c r="O304" s="419"/>
    </row>
    <row r="305" spans="2:15" s="411" customFormat="1" ht="25.5" customHeight="1">
      <c r="B305" s="118"/>
      <c r="C305" s="116"/>
      <c r="D305" s="116"/>
      <c r="E305" s="116"/>
      <c r="K305" s="425"/>
      <c r="M305" s="426"/>
      <c r="O305" s="419"/>
    </row>
    <row r="306" spans="2:15" s="411" customFormat="1" ht="25.5" customHeight="1">
      <c r="B306" s="118"/>
      <c r="C306" s="116"/>
      <c r="D306" s="116"/>
      <c r="E306" s="116"/>
      <c r="K306" s="425"/>
      <c r="M306" s="426"/>
      <c r="O306" s="419"/>
    </row>
    <row r="307" spans="2:15" s="411" customFormat="1" ht="25.5" customHeight="1">
      <c r="B307" s="118"/>
      <c r="C307" s="116"/>
      <c r="D307" s="116"/>
      <c r="E307" s="116"/>
      <c r="K307" s="425"/>
      <c r="M307" s="426"/>
      <c r="O307" s="419"/>
    </row>
    <row r="308" spans="2:15" s="411" customFormat="1" ht="25.5" customHeight="1">
      <c r="B308" s="115"/>
      <c r="C308" s="117"/>
      <c r="D308" s="117"/>
      <c r="E308" s="117"/>
      <c r="F308" s="419"/>
      <c r="G308" s="419"/>
      <c r="H308" s="419"/>
      <c r="I308" s="419"/>
      <c r="J308" s="419"/>
      <c r="K308" s="423"/>
      <c r="L308" s="419"/>
      <c r="M308" s="427"/>
      <c r="O308" s="419"/>
    </row>
    <row r="309" spans="2:15" s="411" customFormat="1" ht="25.5" customHeight="1">
      <c r="B309" s="118"/>
      <c r="C309" s="116"/>
      <c r="D309" s="116"/>
      <c r="E309" s="116"/>
      <c r="K309" s="425"/>
      <c r="M309" s="426"/>
      <c r="O309" s="419"/>
    </row>
    <row r="310" spans="2:15" s="411" customFormat="1" ht="25.5" customHeight="1">
      <c r="B310" s="118"/>
      <c r="C310" s="116"/>
      <c r="D310" s="116"/>
      <c r="E310" s="116"/>
      <c r="K310" s="425"/>
      <c r="M310" s="426"/>
      <c r="O310" s="419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8"/>
    </row>
    <row r="322" spans="2:15" s="168" customFormat="1" ht="25.5" customHeight="1">
      <c r="B322" s="40"/>
      <c r="C322" s="40"/>
      <c r="D322" s="98"/>
      <c r="E322" s="1"/>
      <c r="K322" s="203"/>
      <c r="M322" s="34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8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8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8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8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8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8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8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8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8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8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8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8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8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8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8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8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8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8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8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8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8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8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8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8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8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8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8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8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8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8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8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8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8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8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8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8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8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8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8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8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8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8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8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8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8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8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8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8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8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8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8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8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8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8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8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8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8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8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8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8"/>
    </row>
    <row r="613" spans="2:15" s="168" customFormat="1" ht="25.5" customHeight="1">
      <c r="B613" s="119"/>
      <c r="C613" s="1"/>
      <c r="D613" s="1"/>
      <c r="E613" s="1"/>
      <c r="K613" s="203"/>
      <c r="M613" s="349"/>
      <c r="O613" s="428"/>
    </row>
  </sheetData>
  <sheetProtection algorithmName="SHA-512" hashValue="FOV4V82r34Vhm2YA/m72sqr163FQsPMEepFtwQiCsQAvFgFaHFpAo9lT1TTnyx2RLGFm8Gf3dFbkM3AuJ4f9KA==" saltValue="MC7oyA7w96QGOZSNWJgjgQ==" spinCount="100000" sheet="1" objects="1" scenarios="1" selectLockedCells="1"/>
  <mergeCells count="58">
    <mergeCell ref="B181:F181"/>
    <mergeCell ref="B212:G214"/>
    <mergeCell ref="B215:F215"/>
    <mergeCell ref="F222:G222"/>
    <mergeCell ref="B137:G139"/>
    <mergeCell ref="B140:F140"/>
    <mergeCell ref="B141:F141"/>
    <mergeCell ref="B177:G179"/>
    <mergeCell ref="B180:F180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  <mergeCell ref="D11:F11"/>
  </mergeCells>
  <conditionalFormatting sqref="L25:M35 L68:M70 L41:M41">
    <cfRule type="cellIs" dxfId="93" priority="44" operator="greaterThan">
      <formula>0</formula>
    </cfRule>
  </conditionalFormatting>
  <conditionalFormatting sqref="H124 H111 J89:J90 I25:J35 I72:J75">
    <cfRule type="cellIs" dxfId="92" priority="43" operator="greaterThan">
      <formula>0</formula>
    </cfRule>
  </conditionalFormatting>
  <conditionalFormatting sqref="J90">
    <cfRule type="cellIs" dxfId="91" priority="42" operator="greaterThan">
      <formula>0</formula>
    </cfRule>
  </conditionalFormatting>
  <conditionalFormatting sqref="J89">
    <cfRule type="cellIs" dxfId="90" priority="41" operator="greaterThan">
      <formula>0</formula>
    </cfRule>
  </conditionalFormatting>
  <conditionalFormatting sqref="H111">
    <cfRule type="cellIs" dxfId="89" priority="40" operator="greaterThan">
      <formula>0</formula>
    </cfRule>
  </conditionalFormatting>
  <conditionalFormatting sqref="I25:I35">
    <cfRule type="cellIs" dxfId="88" priority="39" operator="lessThan">
      <formula>$J25</formula>
    </cfRule>
  </conditionalFormatting>
  <conditionalFormatting sqref="H126 J126">
    <cfRule type="cellIs" dxfId="87" priority="38" operator="greaterThan">
      <formula>0</formula>
    </cfRule>
  </conditionalFormatting>
  <conditionalFormatting sqref="J126">
    <cfRule type="cellIs" dxfId="86" priority="37" operator="greaterThan">
      <formula>0</formula>
    </cfRule>
  </conditionalFormatting>
  <conditionalFormatting sqref="H125 J125">
    <cfRule type="cellIs" dxfId="85" priority="36" operator="greaterThan">
      <formula>0</formula>
    </cfRule>
  </conditionalFormatting>
  <conditionalFormatting sqref="J125">
    <cfRule type="cellIs" dxfId="84" priority="35" operator="greaterThan">
      <formula>0</formula>
    </cfRule>
  </conditionalFormatting>
  <conditionalFormatting sqref="L72:M72 L74:M74">
    <cfRule type="cellIs" dxfId="83" priority="31" operator="greaterThan">
      <formula>0</formula>
    </cfRule>
  </conditionalFormatting>
  <conditionalFormatting sqref="I72:J75">
    <cfRule type="cellIs" dxfId="82" priority="34" operator="lessThan">
      <formula>$J72</formula>
    </cfRule>
  </conditionalFormatting>
  <conditionalFormatting sqref="L73:M73 L75:M75">
    <cfRule type="cellIs" dxfId="81" priority="33" operator="greaterThan">
      <formula>0</formula>
    </cfRule>
  </conditionalFormatting>
  <conditionalFormatting sqref="L73:M73 L75:M75">
    <cfRule type="cellIs" dxfId="80" priority="32" operator="greaterThan">
      <formula>0</formula>
    </cfRule>
  </conditionalFormatting>
  <conditionalFormatting sqref="I81:J83">
    <cfRule type="cellIs" dxfId="79" priority="28" operator="greaterThan">
      <formula>0</formula>
    </cfRule>
  </conditionalFormatting>
  <conditionalFormatting sqref="L81:M82">
    <cfRule type="cellIs" dxfId="78" priority="29" operator="greaterThan">
      <formula>0</formula>
    </cfRule>
  </conditionalFormatting>
  <conditionalFormatting sqref="I81:J83">
    <cfRule type="cellIs" dxfId="77" priority="30" operator="lessThan">
      <formula>$J81</formula>
    </cfRule>
  </conditionalFormatting>
  <conditionalFormatting sqref="L83:M83">
    <cfRule type="cellIs" dxfId="76" priority="27" operator="greaterThan">
      <formula>0</formula>
    </cfRule>
  </conditionalFormatting>
  <conditionalFormatting sqref="L44:M44">
    <cfRule type="cellIs" dxfId="75" priority="23" operator="greaterThan">
      <formula>0</formula>
    </cfRule>
  </conditionalFormatting>
  <conditionalFormatting sqref="L72:M72 L74:M74">
    <cfRule type="cellIs" dxfId="74" priority="16" operator="greaterThan">
      <formula>0</formula>
    </cfRule>
  </conditionalFormatting>
  <conditionalFormatting sqref="I43:J44">
    <cfRule type="cellIs" dxfId="73" priority="24" operator="greaterThan">
      <formula>0</formula>
    </cfRule>
  </conditionalFormatting>
  <conditionalFormatting sqref="L43:M43">
    <cfRule type="cellIs" dxfId="72" priority="22" operator="greaterThan">
      <formula>0</formula>
    </cfRule>
  </conditionalFormatting>
  <conditionalFormatting sqref="L44:M44">
    <cfRule type="cellIs" dxfId="71" priority="21" operator="greaterThan">
      <formula>0</formula>
    </cfRule>
  </conditionalFormatting>
  <conditionalFormatting sqref="L43:M43">
    <cfRule type="cellIs" dxfId="70" priority="20" operator="greaterThan">
      <formula>0</formula>
    </cfRule>
  </conditionalFormatting>
  <conditionalFormatting sqref="M43:M44">
    <cfRule type="cellIs" dxfId="69" priority="19" operator="greaterThan">
      <formula>0</formula>
    </cfRule>
  </conditionalFormatting>
  <conditionalFormatting sqref="I43:I44">
    <cfRule type="cellIs" dxfId="68" priority="25" operator="lessThan">
      <formula>$J43</formula>
    </cfRule>
  </conditionalFormatting>
  <conditionalFormatting sqref="L73:M73 L75:M75">
    <cfRule type="cellIs" dxfId="67" priority="18" operator="greaterThan">
      <formula>0</formula>
    </cfRule>
  </conditionalFormatting>
  <conditionalFormatting sqref="L72:M72 L74:M74">
    <cfRule type="cellIs" dxfId="66" priority="17" operator="greaterThan">
      <formula>0</formula>
    </cfRule>
  </conditionalFormatting>
  <conditionalFormatting sqref="L36:M37">
    <cfRule type="cellIs" dxfId="65" priority="15" operator="greaterThan">
      <formula>0</formula>
    </cfRule>
  </conditionalFormatting>
  <conditionalFormatting sqref="I36:J37">
    <cfRule type="cellIs" dxfId="64" priority="14" operator="greaterThan">
      <formula>0</formula>
    </cfRule>
  </conditionalFormatting>
  <conditionalFormatting sqref="I36:I37">
    <cfRule type="cellIs" dxfId="63" priority="13" operator="lessThan">
      <formula>$J36</formula>
    </cfRule>
  </conditionalFormatting>
  <conditionalFormatting sqref="L46:M46 L48:M48 L50:M50 L52:M52 L54:M54 L56:M56 L62:M62 L64:M64 L66:M66 L58:M58 L60:M60">
    <cfRule type="cellIs" dxfId="62" priority="5" operator="greaterThan">
      <formula>0</formula>
    </cfRule>
  </conditionalFormatting>
  <conditionalFormatting sqref="I45:J66">
    <cfRule type="cellIs" dxfId="61" priority="6" operator="greaterThan">
      <formula>0</formula>
    </cfRule>
  </conditionalFormatting>
  <conditionalFormatting sqref="L45:M45 L47:M47 L49:M49 L51:M51 L53:M53 L55:M55 L57:M57 L63:M63 L65:M65 L59:M59 L61:M61">
    <cfRule type="cellIs" dxfId="60" priority="4" operator="greaterThan">
      <formula>0</formula>
    </cfRule>
  </conditionalFormatting>
  <conditionalFormatting sqref="L46:M46 L48:M48 L50:M50 L52:M52 L54:M54 L56:M56 L62:M62 L64:M64 L66:M66 L58:M58 L60:M60">
    <cfRule type="cellIs" dxfId="59" priority="3" operator="greaterThan">
      <formula>0</formula>
    </cfRule>
  </conditionalFormatting>
  <conditionalFormatting sqref="L45:M45 L47:M47 L49:M49 L51:M51 L53:M53 L55:M55 L57:M57 L63:M63 L65:M65 L59:M59 L61:M61">
    <cfRule type="cellIs" dxfId="58" priority="2" operator="greaterThan">
      <formula>0</formula>
    </cfRule>
  </conditionalFormatting>
  <conditionalFormatting sqref="M45:M66">
    <cfRule type="cellIs" dxfId="57" priority="1" operator="greaterThan">
      <formula>0</formula>
    </cfRule>
  </conditionalFormatting>
  <conditionalFormatting sqref="I45:I66">
    <cfRule type="cellIs" dxfId="56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9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9" max="13" man="1"/>
    <brk id="249" max="13" man="1"/>
    <brk id="271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708"/>
      <c r="C4" s="708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324</v>
      </c>
      <c r="C5" s="548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1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2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203</v>
      </c>
      <c r="C8" s="2"/>
      <c r="D8" s="70" t="s">
        <v>204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205</v>
      </c>
      <c r="C9" s="2"/>
      <c r="D9" s="79" t="s">
        <v>206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3" t="s">
        <v>196</v>
      </c>
      <c r="C10" s="549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98" t="s">
        <v>4</v>
      </c>
      <c r="C15" s="698"/>
      <c r="D15" s="698"/>
      <c r="E15" s="698"/>
      <c r="F15" s="698"/>
      <c r="G15" s="698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98"/>
      <c r="C16" s="698"/>
      <c r="D16" s="698"/>
      <c r="E16" s="698"/>
      <c r="F16" s="698"/>
      <c r="G16" s="698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98"/>
      <c r="C17" s="698"/>
      <c r="D17" s="698"/>
      <c r="E17" s="698"/>
      <c r="F17" s="698"/>
      <c r="G17" s="698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207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704" t="s">
        <v>208</v>
      </c>
      <c r="C19" s="704"/>
      <c r="D19" s="704"/>
      <c r="E19" s="704"/>
      <c r="F19" s="704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209</v>
      </c>
      <c r="C20" s="550"/>
      <c r="D20" s="76"/>
      <c r="E20" s="76"/>
      <c r="F20" s="581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51"/>
      <c r="D21" s="140"/>
      <c r="E21" s="140"/>
      <c r="F21" s="581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51"/>
      <c r="D22" s="140"/>
      <c r="E22" s="140"/>
      <c r="F22" s="581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81" t="s">
        <v>210</v>
      </c>
      <c r="C23" s="11"/>
      <c r="D23" s="11"/>
      <c r="I23" s="168"/>
      <c r="M23" s="204"/>
      <c r="N23" s="204"/>
      <c r="O23" s="202"/>
      <c r="P23" s="205"/>
      <c r="Q23" s="525"/>
    </row>
    <row r="24" spans="2:29" s="210" customFormat="1" ht="52">
      <c r="B24" s="482" t="s">
        <v>211</v>
      </c>
      <c r="C24" s="552" t="s">
        <v>325</v>
      </c>
      <c r="D24" s="14" t="s">
        <v>10</v>
      </c>
      <c r="E24" s="14" t="s">
        <v>11</v>
      </c>
      <c r="F24" s="14" t="s">
        <v>212</v>
      </c>
      <c r="G24" s="207" t="s">
        <v>213</v>
      </c>
      <c r="H24" s="207" t="s">
        <v>214</v>
      </c>
      <c r="I24" s="208" t="s">
        <v>215</v>
      </c>
      <c r="J24" s="208" t="s">
        <v>216</v>
      </c>
      <c r="K24" s="208" t="s">
        <v>217</v>
      </c>
      <c r="L24" s="209"/>
      <c r="M24" s="207" t="s">
        <v>218</v>
      </c>
      <c r="N24" s="207" t="s">
        <v>219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83" t="s">
        <v>19</v>
      </c>
      <c r="C25" s="553" t="s">
        <v>326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24"/>
      <c r="S25" s="527"/>
      <c r="U25" s="526"/>
    </row>
    <row r="26" spans="2:29" s="192" customFormat="1" ht="25.5" customHeight="1">
      <c r="B26" s="484" t="s">
        <v>20</v>
      </c>
      <c r="C26" s="554" t="s">
        <v>326</v>
      </c>
      <c r="D26" s="578">
        <v>1</v>
      </c>
      <c r="E26" s="578">
        <v>2</v>
      </c>
      <c r="F26" s="470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24"/>
      <c r="S26" s="527"/>
      <c r="T26" s="526"/>
    </row>
    <row r="27" spans="2:29" s="192" customFormat="1" ht="25.5" customHeight="1">
      <c r="B27" s="483" t="s">
        <v>21</v>
      </c>
      <c r="C27" s="553" t="s">
        <v>326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24"/>
      <c r="S27" s="527"/>
      <c r="T27" s="526"/>
    </row>
    <row r="28" spans="2:29" s="192" customFormat="1" ht="25.5" customHeight="1">
      <c r="B28" s="484" t="s">
        <v>22</v>
      </c>
      <c r="C28" s="554" t="s">
        <v>326</v>
      </c>
      <c r="D28" s="578">
        <v>4</v>
      </c>
      <c r="E28" s="578">
        <v>8</v>
      </c>
      <c r="F28" s="470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24"/>
      <c r="S28" s="527"/>
      <c r="T28" s="526"/>
    </row>
    <row r="29" spans="2:29" s="192" customFormat="1" ht="25.5" customHeight="1">
      <c r="B29" s="483" t="s">
        <v>23</v>
      </c>
      <c r="C29" s="553" t="s">
        <v>326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24"/>
      <c r="S29" s="527"/>
    </row>
    <row r="30" spans="2:29" s="192" customFormat="1" ht="25.5" customHeight="1">
      <c r="B30" s="484" t="s">
        <v>24</v>
      </c>
      <c r="C30" s="554" t="s">
        <v>326</v>
      </c>
      <c r="D30" s="578">
        <v>16</v>
      </c>
      <c r="E30" s="578">
        <v>32</v>
      </c>
      <c r="F30" s="470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24"/>
      <c r="S30" s="527"/>
    </row>
    <row r="31" spans="2:29" s="192" customFormat="1" ht="25.5" customHeight="1">
      <c r="B31" s="483" t="s">
        <v>25</v>
      </c>
      <c r="C31" s="553" t="s">
        <v>326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24"/>
    </row>
    <row r="32" spans="2:29" s="192" customFormat="1" ht="25.5" customHeight="1">
      <c r="B32" s="484" t="s">
        <v>26</v>
      </c>
      <c r="C32" s="554" t="s">
        <v>326</v>
      </c>
      <c r="D32" s="578">
        <v>2</v>
      </c>
      <c r="E32" s="578">
        <v>8</v>
      </c>
      <c r="F32" s="470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24"/>
    </row>
    <row r="33" spans="2:23" s="192" customFormat="1" ht="25.5" customHeight="1">
      <c r="B33" s="483" t="s">
        <v>27</v>
      </c>
      <c r="C33" s="553" t="s">
        <v>326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24"/>
    </row>
    <row r="34" spans="2:23" s="192" customFormat="1" ht="25.5" customHeight="1">
      <c r="B34" s="484" t="s">
        <v>28</v>
      </c>
      <c r="C34" s="554" t="s">
        <v>326</v>
      </c>
      <c r="D34" s="578">
        <v>8</v>
      </c>
      <c r="E34" s="578">
        <v>32</v>
      </c>
      <c r="F34" s="470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24"/>
      <c r="U34" s="200"/>
      <c r="V34" s="200"/>
      <c r="W34" s="200"/>
    </row>
    <row r="35" spans="2:23" s="192" customFormat="1" ht="25.5" customHeight="1">
      <c r="B35" s="483" t="s">
        <v>29</v>
      </c>
      <c r="C35" s="553" t="s">
        <v>326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5" t="s">
        <v>86</v>
      </c>
      <c r="C36" s="555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8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6"/>
      <c r="C37" s="556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6"/>
      <c r="C38" s="556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9" t="s">
        <v>220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82" t="s">
        <v>211</v>
      </c>
      <c r="C40" s="552" t="s">
        <v>325</v>
      </c>
      <c r="D40" s="14" t="s">
        <v>10</v>
      </c>
      <c r="E40" s="14" t="s">
        <v>11</v>
      </c>
      <c r="F40" s="14" t="s">
        <v>212</v>
      </c>
      <c r="G40" s="207" t="s">
        <v>213</v>
      </c>
      <c r="H40" s="207" t="s">
        <v>214</v>
      </c>
      <c r="I40" s="208" t="s">
        <v>215</v>
      </c>
      <c r="J40" s="208" t="s">
        <v>216</v>
      </c>
      <c r="K40" s="208" t="s">
        <v>217</v>
      </c>
      <c r="L40" s="209"/>
      <c r="M40" s="207" t="s">
        <v>218</v>
      </c>
      <c r="N40" s="207" t="s">
        <v>219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8" t="s">
        <v>33</v>
      </c>
      <c r="C41" s="557" t="s">
        <v>326</v>
      </c>
      <c r="D41" s="575">
        <v>1</v>
      </c>
      <c r="E41" s="575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9" t="s">
        <v>34</v>
      </c>
      <c r="C42" s="558" t="s">
        <v>326</v>
      </c>
      <c r="D42" s="577">
        <v>4</v>
      </c>
      <c r="E42" s="577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8" t="s">
        <v>35</v>
      </c>
      <c r="C43" s="557" t="s">
        <v>326</v>
      </c>
      <c r="D43" s="575">
        <v>8</v>
      </c>
      <c r="E43" s="575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9" t="s">
        <v>36</v>
      </c>
      <c r="C44" s="558" t="s">
        <v>326</v>
      </c>
      <c r="D44" s="577">
        <v>16</v>
      </c>
      <c r="E44" s="577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8" t="s">
        <v>37</v>
      </c>
      <c r="C45" s="557" t="s">
        <v>326</v>
      </c>
      <c r="D45" s="575">
        <v>16</v>
      </c>
      <c r="E45" s="575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9" t="s">
        <v>38</v>
      </c>
      <c r="C46" s="558" t="s">
        <v>326</v>
      </c>
      <c r="D46" s="577">
        <v>16</v>
      </c>
      <c r="E46" s="577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8" t="s">
        <v>39</v>
      </c>
      <c r="C47" s="557" t="s">
        <v>326</v>
      </c>
      <c r="D47" s="575">
        <v>32</v>
      </c>
      <c r="E47" s="575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9" t="s">
        <v>40</v>
      </c>
      <c r="C48" s="558" t="s">
        <v>326</v>
      </c>
      <c r="D48" s="577">
        <v>32</v>
      </c>
      <c r="E48" s="577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8" t="s">
        <v>41</v>
      </c>
      <c r="C49" s="557" t="s">
        <v>326</v>
      </c>
      <c r="D49" s="575">
        <v>32</v>
      </c>
      <c r="E49" s="575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9" t="s">
        <v>42</v>
      </c>
      <c r="C50" s="558" t="s">
        <v>326</v>
      </c>
      <c r="D50" s="577">
        <v>4</v>
      </c>
      <c r="E50" s="577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8" t="s">
        <v>43</v>
      </c>
      <c r="C51" s="557" t="s">
        <v>326</v>
      </c>
      <c r="D51" s="575">
        <v>8</v>
      </c>
      <c r="E51" s="575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9" t="s">
        <v>44</v>
      </c>
      <c r="C52" s="558" t="s">
        <v>326</v>
      </c>
      <c r="D52" s="577">
        <v>8</v>
      </c>
      <c r="E52" s="577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8" t="s">
        <v>45</v>
      </c>
      <c r="C53" s="557" t="s">
        <v>326</v>
      </c>
      <c r="D53" s="575">
        <v>8</v>
      </c>
      <c r="E53" s="575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9" t="s">
        <v>46</v>
      </c>
      <c r="C54" s="558" t="s">
        <v>326</v>
      </c>
      <c r="D54" s="577">
        <v>16</v>
      </c>
      <c r="E54" s="577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8" t="s">
        <v>47</v>
      </c>
      <c r="C55" s="557" t="s">
        <v>326</v>
      </c>
      <c r="D55" s="575">
        <v>16</v>
      </c>
      <c r="E55" s="575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9" t="s">
        <v>48</v>
      </c>
      <c r="C56" s="558" t="s">
        <v>326</v>
      </c>
      <c r="D56" s="577">
        <v>16</v>
      </c>
      <c r="E56" s="577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8" t="s">
        <v>49</v>
      </c>
      <c r="C57" s="557" t="s">
        <v>326</v>
      </c>
      <c r="D57" s="575">
        <v>32</v>
      </c>
      <c r="E57" s="575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9" t="s">
        <v>50</v>
      </c>
      <c r="C58" s="558" t="s">
        <v>326</v>
      </c>
      <c r="D58" s="577">
        <v>32</v>
      </c>
      <c r="E58" s="577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8" t="s">
        <v>51</v>
      </c>
      <c r="C59" s="557" t="s">
        <v>326</v>
      </c>
      <c r="D59" s="575">
        <v>32</v>
      </c>
      <c r="E59" s="575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5" t="s">
        <v>86</v>
      </c>
      <c r="C60" s="555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8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90"/>
      <c r="C61" s="559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90"/>
      <c r="C62" s="559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91" t="s">
        <v>327</v>
      </c>
      <c r="C63" s="429"/>
      <c r="D63" s="429"/>
      <c r="E63" s="429"/>
      <c r="F63" s="429"/>
      <c r="G63" s="429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82" t="s">
        <v>211</v>
      </c>
      <c r="C64" s="552" t="s">
        <v>325</v>
      </c>
      <c r="D64" s="14" t="s">
        <v>222</v>
      </c>
      <c r="E64" s="14" t="s">
        <v>11</v>
      </c>
      <c r="F64" s="102" t="s">
        <v>212</v>
      </c>
      <c r="G64" s="207" t="s">
        <v>213</v>
      </c>
      <c r="H64" s="207" t="s">
        <v>214</v>
      </c>
      <c r="I64" s="208" t="s">
        <v>215</v>
      </c>
      <c r="J64" s="208" t="s">
        <v>216</v>
      </c>
      <c r="K64" s="208" t="s">
        <v>217</v>
      </c>
      <c r="L64" s="209"/>
      <c r="M64" s="207" t="s">
        <v>218</v>
      </c>
      <c r="N64" s="207" t="s">
        <v>219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8" t="s">
        <v>328</v>
      </c>
      <c r="C65" s="557" t="s">
        <v>329</v>
      </c>
      <c r="D65" s="575">
        <v>1</v>
      </c>
      <c r="E65" s="575">
        <v>1</v>
      </c>
      <c r="F65" s="104">
        <v>10</v>
      </c>
      <c r="G65" s="467">
        <f t="shared" ref="G65:G81" si="8">H65/720</f>
        <v>0.2955416666666667</v>
      </c>
      <c r="H65" s="465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7" t="s">
        <v>330</v>
      </c>
      <c r="C66" s="560" t="s">
        <v>329</v>
      </c>
      <c r="D66" s="576">
        <v>1</v>
      </c>
      <c r="E66" s="576">
        <v>2</v>
      </c>
      <c r="F66" s="103">
        <v>20</v>
      </c>
      <c r="G66" s="466">
        <f t="shared" si="8"/>
        <v>0.45441666666666669</v>
      </c>
      <c r="H66" s="464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8" t="s">
        <v>331</v>
      </c>
      <c r="C67" s="557" t="s">
        <v>329</v>
      </c>
      <c r="D67" s="575">
        <v>2</v>
      </c>
      <c r="E67" s="575">
        <v>4</v>
      </c>
      <c r="F67" s="104">
        <v>250</v>
      </c>
      <c r="G67" s="467">
        <f t="shared" si="8"/>
        <v>2.2720833333333332</v>
      </c>
      <c r="H67" s="465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7" t="s">
        <v>332</v>
      </c>
      <c r="C68" s="560" t="s">
        <v>329</v>
      </c>
      <c r="D68" s="576">
        <v>4</v>
      </c>
      <c r="E68" s="576">
        <v>8</v>
      </c>
      <c r="F68" s="103">
        <v>250</v>
      </c>
      <c r="G68" s="466">
        <f t="shared" si="8"/>
        <v>2.9212499999999997</v>
      </c>
      <c r="H68" s="464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8" t="s">
        <v>333</v>
      </c>
      <c r="C69" s="557" t="s">
        <v>329</v>
      </c>
      <c r="D69" s="575">
        <v>8</v>
      </c>
      <c r="E69" s="575">
        <v>16</v>
      </c>
      <c r="F69" s="104">
        <v>250</v>
      </c>
      <c r="G69" s="467">
        <f t="shared" si="8"/>
        <v>4.2195833333333335</v>
      </c>
      <c r="H69" s="465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7" t="s">
        <v>334</v>
      </c>
      <c r="C70" s="560" t="s">
        <v>329</v>
      </c>
      <c r="D70" s="576">
        <v>16</v>
      </c>
      <c r="E70" s="576">
        <v>32</v>
      </c>
      <c r="F70" s="103">
        <v>250</v>
      </c>
      <c r="G70" s="466">
        <f t="shared" si="8"/>
        <v>6.8162500000000001</v>
      </c>
      <c r="H70" s="464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8" t="s">
        <v>335</v>
      </c>
      <c r="C71" s="557" t="s">
        <v>329</v>
      </c>
      <c r="D71" s="575">
        <v>16</v>
      </c>
      <c r="E71" s="575">
        <v>32</v>
      </c>
      <c r="F71" s="104">
        <v>500</v>
      </c>
      <c r="G71" s="467">
        <f t="shared" si="8"/>
        <v>8.4391666666666669</v>
      </c>
      <c r="H71" s="465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7" t="s">
        <v>336</v>
      </c>
      <c r="C72" s="560" t="s">
        <v>329</v>
      </c>
      <c r="D72" s="576">
        <v>16</v>
      </c>
      <c r="E72" s="576">
        <v>32</v>
      </c>
      <c r="F72" s="103">
        <v>1000</v>
      </c>
      <c r="G72" s="466">
        <f t="shared" si="8"/>
        <v>11.684999999999999</v>
      </c>
      <c r="H72" s="464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8" t="s">
        <v>337</v>
      </c>
      <c r="C73" s="557" t="s">
        <v>329</v>
      </c>
      <c r="D73" s="575">
        <v>32</v>
      </c>
      <c r="E73" s="575">
        <v>65</v>
      </c>
      <c r="F73" s="104">
        <v>250</v>
      </c>
      <c r="G73" s="467">
        <f t="shared" si="8"/>
        <v>12.103541666666665</v>
      </c>
      <c r="H73" s="465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7" t="s">
        <v>338</v>
      </c>
      <c r="C74" s="560" t="s">
        <v>329</v>
      </c>
      <c r="D74" s="576">
        <v>32</v>
      </c>
      <c r="E74" s="576">
        <v>65</v>
      </c>
      <c r="F74" s="103">
        <v>500</v>
      </c>
      <c r="G74" s="466">
        <f t="shared" si="8"/>
        <v>13.726458333333332</v>
      </c>
      <c r="H74" s="464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8" t="s">
        <v>339</v>
      </c>
      <c r="C75" s="557" t="s">
        <v>329</v>
      </c>
      <c r="D75" s="575">
        <v>32</v>
      </c>
      <c r="E75" s="575">
        <v>65</v>
      </c>
      <c r="F75" s="104">
        <v>1000</v>
      </c>
      <c r="G75" s="467">
        <f t="shared" si="8"/>
        <v>16.972291666666667</v>
      </c>
      <c r="H75" s="465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7" t="s">
        <v>340</v>
      </c>
      <c r="C76" s="560" t="s">
        <v>329</v>
      </c>
      <c r="D76" s="576">
        <v>1</v>
      </c>
      <c r="E76" s="576">
        <v>4</v>
      </c>
      <c r="F76" s="103">
        <v>20</v>
      </c>
      <c r="G76" s="466">
        <f t="shared" si="8"/>
        <v>0.64233333333333331</v>
      </c>
      <c r="H76" s="464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8" t="s">
        <v>341</v>
      </c>
      <c r="C77" s="557" t="s">
        <v>329</v>
      </c>
      <c r="D77" s="575">
        <v>2</v>
      </c>
      <c r="E77" s="575">
        <v>8</v>
      </c>
      <c r="F77" s="104">
        <v>250</v>
      </c>
      <c r="G77" s="467">
        <f t="shared" si="8"/>
        <v>2.6479166666666663</v>
      </c>
      <c r="H77" s="465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7" t="s">
        <v>342</v>
      </c>
      <c r="C78" s="560" t="s">
        <v>329</v>
      </c>
      <c r="D78" s="576">
        <v>4</v>
      </c>
      <c r="E78" s="576">
        <v>16</v>
      </c>
      <c r="F78" s="103">
        <v>250</v>
      </c>
      <c r="G78" s="466">
        <f t="shared" si="8"/>
        <v>3.6729166666666666</v>
      </c>
      <c r="H78" s="464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8" t="s">
        <v>343</v>
      </c>
      <c r="C79" s="557" t="s">
        <v>329</v>
      </c>
      <c r="D79" s="575">
        <v>8</v>
      </c>
      <c r="E79" s="575">
        <v>32</v>
      </c>
      <c r="F79" s="104">
        <v>250</v>
      </c>
      <c r="G79" s="467">
        <f t="shared" si="8"/>
        <v>5.7229166666666664</v>
      </c>
      <c r="H79" s="465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7" t="s">
        <v>344</v>
      </c>
      <c r="C80" s="560" t="s">
        <v>329</v>
      </c>
      <c r="D80" s="576">
        <v>16</v>
      </c>
      <c r="E80" s="576">
        <v>65</v>
      </c>
      <c r="F80" s="103">
        <v>250</v>
      </c>
      <c r="G80" s="466">
        <f t="shared" si="8"/>
        <v>9.9168749999999992</v>
      </c>
      <c r="H80" s="464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8" t="s">
        <v>345</v>
      </c>
      <c r="C81" s="557" t="s">
        <v>329</v>
      </c>
      <c r="D81" s="575">
        <v>16</v>
      </c>
      <c r="E81" s="575">
        <v>65</v>
      </c>
      <c r="F81" s="104">
        <v>500</v>
      </c>
      <c r="G81" s="467">
        <f t="shared" si="8"/>
        <v>11.539791666666666</v>
      </c>
      <c r="H81" s="465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7" t="s">
        <v>346</v>
      </c>
      <c r="C82" s="560" t="s">
        <v>329</v>
      </c>
      <c r="D82" s="576">
        <v>16</v>
      </c>
      <c r="E82" s="576">
        <v>65</v>
      </c>
      <c r="F82" s="103">
        <v>1000</v>
      </c>
      <c r="G82" s="466">
        <f>H82/720</f>
        <v>14.785624999999998</v>
      </c>
      <c r="H82" s="464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8" t="s">
        <v>347</v>
      </c>
      <c r="C83" s="557" t="s">
        <v>329</v>
      </c>
      <c r="D83" s="575">
        <v>32</v>
      </c>
      <c r="E83" s="575">
        <v>131</v>
      </c>
      <c r="F83" s="104">
        <v>250</v>
      </c>
      <c r="G83" s="467">
        <f t="shared" ref="G83:G85" si="13">H83/720</f>
        <v>18.304791666666667</v>
      </c>
      <c r="H83" s="465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7" t="s">
        <v>348</v>
      </c>
      <c r="C84" s="560" t="s">
        <v>329</v>
      </c>
      <c r="D84" s="576">
        <v>32</v>
      </c>
      <c r="E84" s="576">
        <v>131</v>
      </c>
      <c r="F84" s="103">
        <v>500</v>
      </c>
      <c r="G84" s="466">
        <f t="shared" si="13"/>
        <v>19.927708333333335</v>
      </c>
      <c r="H84" s="464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8" t="s">
        <v>349</v>
      </c>
      <c r="C85" s="557" t="s">
        <v>329</v>
      </c>
      <c r="D85" s="575">
        <v>32</v>
      </c>
      <c r="E85" s="575">
        <v>131</v>
      </c>
      <c r="F85" s="104">
        <v>1000</v>
      </c>
      <c r="G85" s="467">
        <f t="shared" si="13"/>
        <v>23.173541666666669</v>
      </c>
      <c r="H85" s="465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5" t="s">
        <v>350</v>
      </c>
      <c r="C86" s="555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8">
        <f>SUM(M65:M85)</f>
        <v>0</v>
      </c>
      <c r="N86" s="598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6"/>
      <c r="C87" s="561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6"/>
      <c r="C88" s="561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9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82" t="s">
        <v>211</v>
      </c>
      <c r="C90" s="14" t="s">
        <v>222</v>
      </c>
      <c r="D90" s="14" t="s">
        <v>11</v>
      </c>
      <c r="E90" s="14" t="s">
        <v>32</v>
      </c>
      <c r="F90" s="273"/>
      <c r="G90" s="207" t="s">
        <v>213</v>
      </c>
      <c r="H90" s="207" t="s">
        <v>214</v>
      </c>
      <c r="I90" s="274" t="s">
        <v>215</v>
      </c>
      <c r="J90" s="274" t="s">
        <v>216</v>
      </c>
      <c r="K90" s="274" t="s">
        <v>217</v>
      </c>
      <c r="L90" s="209"/>
      <c r="M90" s="207" t="s">
        <v>218</v>
      </c>
      <c r="N90" s="207" t="s">
        <v>219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70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92" t="s">
        <v>61</v>
      </c>
      <c r="C92" s="92">
        <v>32</v>
      </c>
      <c r="D92" s="92">
        <v>256</v>
      </c>
      <c r="E92" s="571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93" t="s">
        <v>62</v>
      </c>
      <c r="C93" s="93">
        <v>64</v>
      </c>
      <c r="D93" s="93">
        <v>512</v>
      </c>
      <c r="E93" s="572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6" t="s">
        <v>86</v>
      </c>
      <c r="C94" s="556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8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4"/>
      <c r="C95" s="562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5"/>
      <c r="C96" s="561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9" t="s">
        <v>223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82" t="s">
        <v>211</v>
      </c>
      <c r="C98" s="26" t="s">
        <v>224</v>
      </c>
      <c r="D98" s="26"/>
      <c r="E98" s="138" t="s">
        <v>213</v>
      </c>
      <c r="F98" s="702" t="s">
        <v>225</v>
      </c>
      <c r="G98" s="702"/>
      <c r="H98" s="711"/>
      <c r="I98" s="711"/>
      <c r="J98" s="285" t="s">
        <v>66</v>
      </c>
      <c r="K98" s="284"/>
      <c r="L98" s="284"/>
      <c r="M98" s="284"/>
      <c r="N98" s="588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73">
        <f>F99/720</f>
        <v>1.6666666666666666E-3</v>
      </c>
      <c r="F99" s="709">
        <f>VOLUME_large_SEK</f>
        <v>1.2</v>
      </c>
      <c r="G99" s="709"/>
      <c r="H99" s="712"/>
      <c r="I99" s="712"/>
      <c r="J99" s="290"/>
      <c r="K99" s="517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92" t="s">
        <v>70</v>
      </c>
      <c r="C100" s="43" t="s">
        <v>68</v>
      </c>
      <c r="D100" s="81"/>
      <c r="E100" s="574">
        <f>F100/720</f>
        <v>5.0000000000000001E-3</v>
      </c>
      <c r="F100" s="710">
        <f>VOLUME_fast_SEK</f>
        <v>3.6</v>
      </c>
      <c r="G100" s="710"/>
      <c r="H100" s="713"/>
      <c r="I100" s="713"/>
      <c r="J100" s="294">
        <v>0</v>
      </c>
      <c r="K100" s="518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5" t="s">
        <v>226</v>
      </c>
      <c r="C101" s="555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62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62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62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98" t="s">
        <v>351</v>
      </c>
      <c r="C105" s="698"/>
      <c r="D105" s="698"/>
      <c r="E105" s="698"/>
      <c r="F105" s="698"/>
      <c r="G105" s="698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98"/>
      <c r="C106" s="698"/>
      <c r="D106" s="698"/>
      <c r="E106" s="698"/>
      <c r="F106" s="698"/>
      <c r="G106" s="698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98"/>
      <c r="C107" s="698"/>
      <c r="D107" s="698"/>
      <c r="E107" s="698"/>
      <c r="F107" s="698"/>
      <c r="G107" s="698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699" t="s">
        <v>227</v>
      </c>
      <c r="C108" s="699"/>
      <c r="D108" s="699"/>
      <c r="E108" s="699"/>
      <c r="F108" s="699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700" t="s">
        <v>352</v>
      </c>
      <c r="C109" s="700"/>
      <c r="D109" s="700"/>
      <c r="E109" s="700"/>
      <c r="F109" s="700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209</v>
      </c>
      <c r="C110" s="550"/>
      <c r="D110" s="76"/>
      <c r="E110" s="76"/>
      <c r="F110" s="581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81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82" t="s">
        <v>211</v>
      </c>
      <c r="C112" s="552" t="s">
        <v>229</v>
      </c>
      <c r="D112" s="702" t="s">
        <v>353</v>
      </c>
      <c r="E112" s="702"/>
      <c r="F112" s="702"/>
      <c r="G112" s="702"/>
      <c r="H112" s="702"/>
      <c r="I112" s="702"/>
      <c r="J112" s="702"/>
      <c r="K112" s="702"/>
      <c r="L112" s="588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83" t="s">
        <v>77</v>
      </c>
      <c r="C113" s="553" t="s">
        <v>354</v>
      </c>
      <c r="D113" s="782">
        <f>S3_storage.50_SUNET</f>
        <v>0.35</v>
      </c>
      <c r="E113" s="782"/>
      <c r="F113" s="714"/>
      <c r="G113" s="714"/>
      <c r="H113" s="714"/>
      <c r="I113" s="714"/>
      <c r="J113" s="714"/>
      <c r="K113" s="714"/>
      <c r="L113" s="591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4" t="s">
        <v>77</v>
      </c>
      <c r="C114" s="554" t="s">
        <v>355</v>
      </c>
      <c r="D114" s="781">
        <f>S3_storage.100_SUNET</f>
        <v>0.19</v>
      </c>
      <c r="E114" s="781"/>
      <c r="F114" s="715"/>
      <c r="G114" s="715"/>
      <c r="H114" s="715"/>
      <c r="I114" s="715"/>
      <c r="J114" s="715"/>
      <c r="K114" s="715"/>
      <c r="L114" s="585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83" t="s">
        <v>77</v>
      </c>
      <c r="C115" s="553" t="s">
        <v>356</v>
      </c>
      <c r="D115" s="780">
        <f>S3_storage.500_SUNET</f>
        <v>0.1</v>
      </c>
      <c r="E115" s="780"/>
      <c r="F115" s="716"/>
      <c r="G115" s="716"/>
      <c r="H115" s="716"/>
      <c r="I115" s="716"/>
      <c r="J115" s="716"/>
      <c r="K115" s="716"/>
      <c r="L115" s="590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4" t="s">
        <v>77</v>
      </c>
      <c r="C116" s="554" t="s">
        <v>357</v>
      </c>
      <c r="D116" s="781">
        <f>S3_storage.1000_SUNET</f>
        <v>0.06</v>
      </c>
      <c r="E116" s="781"/>
      <c r="F116" s="715"/>
      <c r="G116" s="715"/>
      <c r="H116" s="715"/>
      <c r="I116" s="715"/>
      <c r="J116" s="715"/>
      <c r="K116" s="715"/>
      <c r="L116" s="585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83" t="s">
        <v>77</v>
      </c>
      <c r="C117" s="553" t="s">
        <v>82</v>
      </c>
      <c r="D117" s="777" t="str">
        <f>S3_storage.quote_SUNET</f>
        <v>Be om offert</v>
      </c>
      <c r="E117" s="777"/>
      <c r="F117" s="717"/>
      <c r="G117" s="717"/>
      <c r="H117" s="717"/>
      <c r="I117" s="717"/>
      <c r="J117" s="717"/>
      <c r="K117" s="717"/>
      <c r="L117" s="587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8"/>
      <c r="C118" s="563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9"/>
      <c r="C119" s="551"/>
      <c r="D119" s="140"/>
      <c r="E119" s="140"/>
      <c r="F119" s="581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82" t="s">
        <v>211</v>
      </c>
      <c r="C120" s="26"/>
      <c r="D120" s="26"/>
      <c r="E120" s="138" t="s">
        <v>213</v>
      </c>
      <c r="F120" s="702" t="s">
        <v>225</v>
      </c>
      <c r="G120" s="702"/>
      <c r="H120" s="285" t="s">
        <v>229</v>
      </c>
      <c r="I120" s="284"/>
      <c r="J120" s="284"/>
      <c r="K120" s="26" t="s">
        <v>358</v>
      </c>
      <c r="L120" s="284"/>
      <c r="M120" s="284"/>
      <c r="N120" s="588" t="s">
        <v>84</v>
      </c>
      <c r="O120" s="317"/>
      <c r="P120" s="219"/>
      <c r="R120" s="192"/>
      <c r="S120" s="192"/>
    </row>
    <row r="121" spans="2:24" s="268" customFormat="1" ht="25.5" customHeight="1">
      <c r="B121" s="510" t="s">
        <v>77</v>
      </c>
      <c r="C121" s="84"/>
      <c r="D121" s="84"/>
      <c r="E121" s="27">
        <f>F121/720</f>
        <v>4.861111111111111E-4</v>
      </c>
      <c r="F121" s="778" cm="1">
        <f t="array" ref="F121">_xlfn.IFS(H121&lt;=299,D113,H121&lt;1000,D114,H121&lt;2000,D115,H121&gt;=2000,D116)</f>
        <v>0.35</v>
      </c>
      <c r="G121" s="779"/>
      <c r="H121" s="318">
        <v>0</v>
      </c>
      <c r="I121" s="519" t="s">
        <v>85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83">
        <f>ROUNDUP((H121*1000)*F121,2)</f>
        <v>0</v>
      </c>
      <c r="N121" s="783"/>
      <c r="O121" s="317"/>
      <c r="P121" s="281"/>
      <c r="R121" s="265"/>
      <c r="S121" s="265"/>
    </row>
    <row r="122" spans="2:24" ht="25.5" customHeight="1">
      <c r="B122" s="20" t="s">
        <v>86</v>
      </c>
      <c r="C122" s="556"/>
      <c r="D122" s="21"/>
      <c r="E122" s="21"/>
      <c r="F122" s="230"/>
      <c r="G122" s="231"/>
      <c r="H122" s="231"/>
      <c r="I122" s="231"/>
      <c r="J122" s="231"/>
      <c r="K122" s="322"/>
      <c r="L122" s="322"/>
      <c r="M122" s="784">
        <f>SUM(M121)</f>
        <v>0</v>
      </c>
      <c r="N122" s="784"/>
      <c r="O122" s="317"/>
      <c r="P122" s="219"/>
      <c r="R122" s="192"/>
      <c r="S122" s="192"/>
    </row>
    <row r="123" spans="2:24" ht="25.5" customHeight="1">
      <c r="B123" s="28"/>
      <c r="C123" s="564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64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64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698" t="s">
        <v>87</v>
      </c>
      <c r="C126" s="698"/>
      <c r="D126" s="698"/>
      <c r="E126" s="698"/>
      <c r="F126" s="698"/>
      <c r="G126" s="698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98"/>
      <c r="C127" s="698"/>
      <c r="D127" s="698"/>
      <c r="E127" s="698"/>
      <c r="F127" s="698"/>
      <c r="G127" s="698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98"/>
      <c r="C128" s="698"/>
      <c r="D128" s="698"/>
      <c r="E128" s="698"/>
      <c r="F128" s="698"/>
      <c r="G128" s="698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701" t="s">
        <v>88</v>
      </c>
      <c r="C129" s="701"/>
      <c r="D129" s="701"/>
      <c r="E129" s="701"/>
      <c r="F129" s="701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704" t="s">
        <v>231</v>
      </c>
      <c r="C130" s="704"/>
      <c r="D130" s="704"/>
      <c r="E130" s="704"/>
      <c r="F130" s="704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232</v>
      </c>
      <c r="C131" s="550"/>
      <c r="D131" s="76"/>
      <c r="E131" s="76"/>
      <c r="F131" s="581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82" t="s">
        <v>211</v>
      </c>
      <c r="C133" s="702" t="s">
        <v>233</v>
      </c>
      <c r="D133" s="702"/>
      <c r="E133" s="138" t="s">
        <v>213</v>
      </c>
      <c r="F133" s="702" t="s">
        <v>225</v>
      </c>
      <c r="G133" s="702"/>
      <c r="H133" s="285" t="s">
        <v>91</v>
      </c>
      <c r="I133" s="284"/>
      <c r="J133" s="711" t="s">
        <v>234</v>
      </c>
      <c r="K133" s="711"/>
      <c r="L133" s="586"/>
      <c r="M133" s="284"/>
      <c r="N133" s="588" t="s">
        <v>93</v>
      </c>
      <c r="O133" s="271"/>
      <c r="P133" s="205"/>
    </row>
    <row r="134" spans="1:35" ht="25.5" customHeight="1">
      <c r="A134" s="328"/>
      <c r="B134" s="582" t="s">
        <v>94</v>
      </c>
      <c r="C134" s="521"/>
      <c r="D134" s="31" t="s">
        <v>95</v>
      </c>
      <c r="E134" s="31" t="s">
        <v>95</v>
      </c>
      <c r="F134" s="688">
        <f>BAAS_on.demand_SEK</f>
        <v>2.4500000000000002</v>
      </c>
      <c r="G134" s="689"/>
      <c r="H134" s="329">
        <v>0</v>
      </c>
      <c r="I134" s="517" t="s">
        <v>69</v>
      </c>
      <c r="J134" s="687" t="s">
        <v>95</v>
      </c>
      <c r="K134" s="687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83" t="s">
        <v>96</v>
      </c>
      <c r="C135" s="523"/>
      <c r="D135" s="33">
        <v>5500</v>
      </c>
      <c r="E135" s="34" t="s">
        <v>95</v>
      </c>
      <c r="F135" s="690">
        <f>BAAS_small_SEK</f>
        <v>1.75</v>
      </c>
      <c r="G135" s="691"/>
      <c r="H135" s="331">
        <v>0</v>
      </c>
      <c r="I135" s="518" t="s">
        <v>69</v>
      </c>
      <c r="J135" s="696">
        <v>0.75</v>
      </c>
      <c r="K135" s="697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84" t="s">
        <v>97</v>
      </c>
      <c r="C136" s="522"/>
      <c r="D136" s="35">
        <v>9500</v>
      </c>
      <c r="E136" s="37" t="s">
        <v>95</v>
      </c>
      <c r="F136" s="694">
        <f>BAAS_large_SEK</f>
        <v>0.92</v>
      </c>
      <c r="G136" s="695"/>
      <c r="H136" s="318">
        <v>0</v>
      </c>
      <c r="I136" s="519" t="s">
        <v>69</v>
      </c>
      <c r="J136" s="692">
        <v>0.75</v>
      </c>
      <c r="K136" s="693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86</v>
      </c>
      <c r="C137" s="556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6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235</v>
      </c>
      <c r="C139" s="556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236</v>
      </c>
      <c r="C140" s="556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237</v>
      </c>
      <c r="C141" s="564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238</v>
      </c>
      <c r="C142" s="564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64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64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64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4"/>
      <c r="B146" s="68"/>
      <c r="C146" s="565"/>
      <c r="D146" s="62"/>
      <c r="E146" s="62"/>
      <c r="F146" s="365"/>
      <c r="G146" s="366"/>
      <c r="H146" s="367"/>
      <c r="I146" s="367"/>
      <c r="J146" s="367"/>
      <c r="K146" s="368"/>
      <c r="L146" s="369"/>
      <c r="M146" s="369"/>
      <c r="N146" s="369"/>
      <c r="O146" s="370"/>
      <c r="P146" s="219"/>
      <c r="Q146" s="192"/>
      <c r="R146" s="192"/>
    </row>
    <row r="147" spans="1:23" s="187" customFormat="1" ht="25.5" customHeight="1">
      <c r="A147" s="169"/>
      <c r="B147" s="56"/>
      <c r="C147" s="566"/>
      <c r="D147" s="56"/>
      <c r="E147" s="56"/>
      <c r="F147" s="371"/>
      <c r="G147" s="372"/>
      <c r="H147" s="373"/>
      <c r="I147" s="373"/>
      <c r="J147" s="373"/>
      <c r="K147" s="374"/>
      <c r="L147" s="375"/>
      <c r="M147" s="375"/>
      <c r="N147" s="375"/>
      <c r="O147" s="169"/>
      <c r="P147" s="191"/>
    </row>
    <row r="148" spans="1:23" s="187" customFormat="1" ht="25.5" customHeight="1">
      <c r="A148" s="169"/>
      <c r="B148" s="56"/>
      <c r="C148" s="566"/>
      <c r="D148" s="56"/>
      <c r="E148" s="56"/>
      <c r="F148" s="371"/>
      <c r="G148" s="372"/>
      <c r="H148" s="373"/>
      <c r="I148" s="373"/>
      <c r="J148" s="373"/>
      <c r="K148" s="374"/>
      <c r="L148" s="375"/>
      <c r="M148" s="375"/>
      <c r="N148" s="375"/>
      <c r="O148" s="169"/>
      <c r="P148" s="191"/>
    </row>
    <row r="149" spans="1:23" s="187" customFormat="1" ht="25.5" customHeight="1">
      <c r="A149" s="169"/>
      <c r="B149" s="56"/>
      <c r="C149" s="566"/>
      <c r="D149" s="56"/>
      <c r="E149" s="56"/>
      <c r="F149" s="371"/>
      <c r="G149" s="372"/>
      <c r="H149" s="373"/>
      <c r="I149" s="373"/>
      <c r="J149" s="373"/>
      <c r="K149" s="374"/>
      <c r="L149" s="375"/>
      <c r="M149" s="375"/>
      <c r="N149" s="375"/>
      <c r="O149" s="169"/>
      <c r="P149" s="191"/>
    </row>
    <row r="150" spans="1:23" s="187" customFormat="1" ht="25.5" customHeight="1">
      <c r="A150" s="169"/>
      <c r="B150" s="705" t="s">
        <v>267</v>
      </c>
      <c r="C150" s="705"/>
      <c r="D150" s="705"/>
      <c r="E150" s="705"/>
      <c r="F150" s="705"/>
      <c r="G150" s="705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705"/>
      <c r="C151" s="705"/>
      <c r="D151" s="705"/>
      <c r="E151" s="705"/>
      <c r="F151" s="705"/>
      <c r="G151" s="705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705"/>
      <c r="C152" s="705"/>
      <c r="D152" s="705"/>
      <c r="E152" s="705"/>
      <c r="F152" s="705"/>
      <c r="G152" s="705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706" t="s">
        <v>231</v>
      </c>
      <c r="C153" s="706"/>
      <c r="D153" s="706"/>
      <c r="E153" s="706"/>
      <c r="F153" s="706"/>
      <c r="G153" s="169"/>
      <c r="H153" s="172"/>
      <c r="I153" s="169"/>
      <c r="J153" s="173"/>
      <c r="K153" s="173"/>
      <c r="L153" s="169"/>
      <c r="M153" s="174"/>
      <c r="N153" s="174"/>
      <c r="O153" s="376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6"/>
      <c r="P154" s="199"/>
    </row>
    <row r="155" spans="1:23" s="187" customFormat="1" ht="25.5" customHeight="1">
      <c r="A155" s="169"/>
      <c r="B155" s="70" t="s">
        <v>268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6"/>
      <c r="P155" s="199"/>
    </row>
    <row r="156" spans="1:23" s="187" customFormat="1" ht="25.5" customHeight="1">
      <c r="A156" s="169"/>
      <c r="B156" s="451" t="s">
        <v>205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6"/>
      <c r="P156" s="199"/>
    </row>
    <row r="157" spans="1:23" s="187" customFormat="1" ht="25.5" customHeight="1">
      <c r="A157" s="169"/>
      <c r="B157" s="71" t="s">
        <v>196</v>
      </c>
      <c r="C157" s="69"/>
      <c r="D157" s="69"/>
      <c r="E157" s="69"/>
      <c r="F157" s="377"/>
      <c r="G157" s="376"/>
      <c r="H157" s="378"/>
      <c r="I157" s="376"/>
      <c r="J157" s="379"/>
      <c r="K157" s="380"/>
      <c r="L157" s="376"/>
      <c r="M157" s="381"/>
      <c r="N157" s="381"/>
      <c r="O157" s="376"/>
      <c r="P157" s="199"/>
    </row>
    <row r="158" spans="1:23" s="261" customFormat="1" ht="25.5" customHeight="1">
      <c r="A158" s="382"/>
      <c r="B158" s="142"/>
      <c r="C158" s="69"/>
      <c r="D158" s="142"/>
      <c r="E158" s="142"/>
      <c r="F158" s="592"/>
      <c r="G158" s="376"/>
      <c r="H158" s="378"/>
      <c r="I158" s="376"/>
      <c r="J158" s="379"/>
      <c r="K158" s="380"/>
      <c r="L158" s="376"/>
      <c r="M158" s="381"/>
      <c r="N158" s="381"/>
      <c r="O158" s="382"/>
      <c r="P158" s="316"/>
      <c r="Q158" s="383"/>
      <c r="R158" s="287"/>
      <c r="S158" s="287"/>
      <c r="T158" s="287"/>
      <c r="U158" s="287"/>
      <c r="V158" s="287"/>
      <c r="W158" s="287"/>
    </row>
    <row r="159" spans="1:23" ht="25.5" customHeight="1">
      <c r="A159" s="384"/>
      <c r="B159" s="57" t="s">
        <v>269</v>
      </c>
      <c r="C159" s="58"/>
      <c r="D159" s="59"/>
      <c r="E159" s="58"/>
      <c r="F159" s="386"/>
      <c r="G159" s="386"/>
      <c r="H159" s="386"/>
      <c r="I159" s="386"/>
      <c r="J159" s="386"/>
      <c r="K159" s="385"/>
      <c r="L159" s="385"/>
      <c r="M159" s="386" t="s">
        <v>267</v>
      </c>
      <c r="N159" s="387"/>
      <c r="O159" s="388"/>
      <c r="P159" s="205"/>
      <c r="Q159" s="336"/>
    </row>
    <row r="160" spans="1:23" ht="25.5" customHeight="1">
      <c r="A160" s="384"/>
      <c r="B160" s="774" t="s">
        <v>199</v>
      </c>
      <c r="C160" s="774"/>
      <c r="D160" s="72"/>
      <c r="E160" s="73"/>
      <c r="F160" s="389"/>
      <c r="G160" s="390"/>
      <c r="H160" s="390"/>
      <c r="I160" s="390"/>
      <c r="J160" s="390"/>
      <c r="K160" s="540"/>
      <c r="L160" s="540"/>
      <c r="M160" s="390">
        <f>M86+M94+M60+M36+N101</f>
        <v>0</v>
      </c>
      <c r="N160" s="293"/>
      <c r="O160" s="384"/>
      <c r="P160" s="205"/>
      <c r="Q160" s="336"/>
    </row>
    <row r="161" spans="1:17" ht="25.5" customHeight="1">
      <c r="A161" s="384"/>
      <c r="B161" s="775" t="s">
        <v>200</v>
      </c>
      <c r="C161" s="775"/>
      <c r="D161" s="74"/>
      <c r="E161" s="75"/>
      <c r="F161" s="393"/>
      <c r="G161" s="394"/>
      <c r="H161" s="394"/>
      <c r="I161" s="394"/>
      <c r="J161" s="394"/>
      <c r="K161" s="541"/>
      <c r="L161" s="541"/>
      <c r="M161" s="394">
        <f>M122</f>
        <v>0</v>
      </c>
      <c r="N161" s="293"/>
      <c r="O161" s="384"/>
      <c r="P161" s="205"/>
      <c r="Q161" s="336"/>
    </row>
    <row r="162" spans="1:17" ht="25.5" customHeight="1">
      <c r="A162" s="384"/>
      <c r="B162" s="143" t="s">
        <v>201</v>
      </c>
      <c r="C162" s="547"/>
      <c r="D162" s="74"/>
      <c r="E162" s="75"/>
      <c r="F162" s="393"/>
      <c r="G162" s="394"/>
      <c r="H162" s="394"/>
      <c r="I162" s="394"/>
      <c r="J162" s="394"/>
      <c r="K162" s="541"/>
      <c r="L162" s="541"/>
      <c r="M162" s="394">
        <f>N137</f>
        <v>0</v>
      </c>
      <c r="N162" s="293"/>
      <c r="O162" s="384"/>
      <c r="P162" s="205"/>
      <c r="Q162" s="336"/>
    </row>
    <row r="163" spans="1:17" s="399" customFormat="1" ht="25.5" customHeight="1">
      <c r="A163" s="397"/>
      <c r="B163" s="776" t="s">
        <v>202</v>
      </c>
      <c r="C163" s="776"/>
      <c r="D163" s="35"/>
      <c r="E163" s="36"/>
      <c r="F163" s="333"/>
      <c r="G163" s="597"/>
      <c r="H163" s="597"/>
      <c r="I163" s="597"/>
      <c r="J163" s="597"/>
      <c r="K163" s="542"/>
      <c r="L163" s="542"/>
      <c r="M163" s="597">
        <f>N86+N94+N60+N36</f>
        <v>0</v>
      </c>
      <c r="N163" s="293"/>
      <c r="O163" s="397"/>
      <c r="P163" s="398"/>
    </row>
    <row r="164" spans="1:17" ht="25.5" customHeight="1">
      <c r="A164" s="384"/>
      <c r="B164" s="60" t="s">
        <v>86</v>
      </c>
      <c r="C164" s="567"/>
      <c r="D164" s="61"/>
      <c r="E164" s="61"/>
      <c r="F164" s="400"/>
      <c r="G164" s="401"/>
      <c r="H164" s="401"/>
      <c r="I164" s="401"/>
      <c r="J164" s="773">
        <f>SUM(M160:M163)</f>
        <v>0</v>
      </c>
      <c r="K164" s="773"/>
      <c r="L164" s="773"/>
      <c r="M164" s="773"/>
      <c r="N164" s="402"/>
      <c r="O164" s="384"/>
      <c r="P164" s="205"/>
    </row>
    <row r="165" spans="1:17" ht="25.5" customHeight="1">
      <c r="A165" s="384"/>
      <c r="B165" s="60"/>
      <c r="C165" s="567"/>
      <c r="D165" s="61"/>
      <c r="E165" s="61"/>
      <c r="F165" s="400"/>
      <c r="G165" s="401"/>
      <c r="H165" s="401"/>
      <c r="I165" s="401"/>
      <c r="J165" s="402"/>
      <c r="K165" s="402"/>
      <c r="L165" s="402"/>
      <c r="M165" s="402"/>
      <c r="N165" s="402"/>
      <c r="O165" s="384"/>
      <c r="P165" s="205"/>
    </row>
    <row r="166" spans="1:17" ht="25.5" customHeight="1">
      <c r="A166" s="384"/>
      <c r="B166" s="539" t="s">
        <v>359</v>
      </c>
      <c r="C166" s="547"/>
      <c r="D166" s="547"/>
      <c r="E166" s="75"/>
      <c r="F166" s="393"/>
      <c r="G166" s="394"/>
      <c r="H166" s="394"/>
      <c r="I166" s="394"/>
      <c r="J166" s="394"/>
      <c r="K166" s="395"/>
      <c r="L166" s="395"/>
      <c r="M166" s="394">
        <f>M160*0.88+M161+M162+M163</f>
        <v>0</v>
      </c>
      <c r="N166" s="293"/>
      <c r="O166" s="384"/>
      <c r="P166" s="205"/>
      <c r="Q166" s="336"/>
    </row>
    <row r="167" spans="1:17" ht="25.5" customHeight="1">
      <c r="A167" s="384"/>
      <c r="B167" s="539" t="s">
        <v>360</v>
      </c>
      <c r="C167" s="547"/>
      <c r="D167" s="547"/>
      <c r="E167" s="75"/>
      <c r="F167" s="393"/>
      <c r="G167" s="394"/>
      <c r="H167" s="394"/>
      <c r="I167" s="394"/>
      <c r="J167" s="394"/>
      <c r="K167" s="395"/>
      <c r="L167" s="395"/>
      <c r="M167" s="394">
        <f>M160*0.76+M161+M162+M163</f>
        <v>0</v>
      </c>
      <c r="N167" s="293"/>
      <c r="O167" s="384"/>
      <c r="P167" s="205"/>
      <c r="Q167" s="336"/>
    </row>
    <row r="168" spans="1:17" ht="25.5" customHeight="1">
      <c r="A168" s="384"/>
      <c r="B168" s="32"/>
      <c r="C168" s="41"/>
      <c r="D168" s="38"/>
      <c r="E168" s="39"/>
      <c r="F168" s="341"/>
      <c r="G168" s="595"/>
      <c r="H168" s="340"/>
      <c r="I168" s="291"/>
      <c r="J168" s="403"/>
      <c r="K168" s="291"/>
      <c r="L168" s="404"/>
      <c r="M168" s="293"/>
      <c r="N168" s="293"/>
      <c r="O168" s="384"/>
      <c r="P168" s="205"/>
    </row>
    <row r="169" spans="1:17" ht="25.5" customHeight="1">
      <c r="A169" s="405"/>
      <c r="B169" s="44"/>
      <c r="C169" s="568"/>
      <c r="D169" s="35"/>
      <c r="E169" s="36"/>
      <c r="F169" s="407"/>
      <c r="G169" s="597"/>
      <c r="H169" s="406"/>
      <c r="I169" s="319"/>
      <c r="J169" s="408"/>
      <c r="K169" s="319"/>
      <c r="L169" s="409"/>
      <c r="M169" s="321"/>
      <c r="N169" s="321"/>
      <c r="O169" s="410"/>
      <c r="P169" s="205"/>
    </row>
    <row r="170" spans="1:17" s="411" customFormat="1" ht="24" customHeight="1">
      <c r="B170" s="112"/>
      <c r="C170" s="569"/>
      <c r="D170" s="113"/>
      <c r="E170" s="114"/>
      <c r="F170" s="413"/>
      <c r="G170" s="414"/>
      <c r="H170" s="412"/>
      <c r="I170" s="415"/>
      <c r="J170" s="416"/>
      <c r="K170" s="415"/>
      <c r="L170" s="417"/>
      <c r="M170" s="418"/>
      <c r="N170" s="418"/>
      <c r="O170" s="419"/>
    </row>
    <row r="171" spans="1:17" s="411" customFormat="1" ht="24" customHeight="1">
      <c r="B171" s="112"/>
      <c r="C171" s="569"/>
      <c r="D171" s="112"/>
      <c r="E171" s="112"/>
      <c r="F171" s="420"/>
      <c r="G171" s="421"/>
      <c r="H171" s="422"/>
      <c r="I171" s="422"/>
      <c r="J171" s="422"/>
      <c r="K171" s="423"/>
      <c r="L171" s="418"/>
      <c r="M171" s="418"/>
      <c r="N171" s="418"/>
      <c r="O171" s="419"/>
    </row>
    <row r="172" spans="1:17" s="411" customFormat="1" ht="24" customHeight="1">
      <c r="B172" s="112"/>
      <c r="C172" s="569"/>
      <c r="D172" s="112"/>
      <c r="E172" s="112"/>
      <c r="F172" s="420"/>
      <c r="G172" s="421"/>
      <c r="H172" s="422"/>
      <c r="I172" s="422"/>
      <c r="J172" s="422"/>
      <c r="K172" s="423"/>
      <c r="L172" s="418"/>
      <c r="M172" s="418"/>
      <c r="N172" s="418"/>
      <c r="O172" s="419"/>
    </row>
    <row r="173" spans="1:17" s="411" customFormat="1" ht="24" customHeight="1">
      <c r="B173" s="112"/>
      <c r="C173" s="569"/>
      <c r="D173" s="112"/>
      <c r="E173" s="112"/>
      <c r="F173" s="420"/>
      <c r="G173" s="421"/>
      <c r="H173" s="422"/>
      <c r="I173" s="422"/>
      <c r="J173" s="422"/>
      <c r="K173" s="423"/>
      <c r="L173" s="418"/>
      <c r="M173" s="418"/>
      <c r="N173" s="418"/>
      <c r="O173" s="419"/>
    </row>
    <row r="174" spans="1:17" s="411" customFormat="1" ht="24" customHeight="1">
      <c r="B174" s="112"/>
      <c r="C174" s="569"/>
      <c r="D174" s="112"/>
      <c r="E174" s="112"/>
      <c r="F174" s="420"/>
      <c r="G174" s="421"/>
      <c r="H174" s="422"/>
      <c r="I174" s="422"/>
      <c r="J174" s="422"/>
      <c r="K174" s="423"/>
      <c r="L174" s="418"/>
      <c r="M174" s="418"/>
      <c r="N174" s="418"/>
      <c r="O174" s="419"/>
    </row>
    <row r="175" spans="1:17" s="411" customFormat="1" ht="24" customHeight="1">
      <c r="B175" s="112"/>
      <c r="C175" s="569"/>
      <c r="D175" s="112"/>
      <c r="E175" s="112"/>
      <c r="F175" s="420"/>
      <c r="G175" s="421"/>
      <c r="H175" s="422"/>
      <c r="I175" s="422"/>
      <c r="J175" s="422"/>
      <c r="K175" s="423"/>
      <c r="L175" s="418"/>
      <c r="M175" s="418"/>
      <c r="N175" s="418"/>
      <c r="O175" s="419"/>
    </row>
    <row r="176" spans="1:17" s="411" customFormat="1" ht="24" customHeight="1">
      <c r="B176" s="112"/>
      <c r="C176" s="569"/>
      <c r="D176" s="112"/>
      <c r="E176" s="112"/>
      <c r="F176" s="420"/>
      <c r="G176" s="421"/>
      <c r="H176" s="422"/>
      <c r="I176" s="422"/>
      <c r="J176" s="422"/>
      <c r="K176" s="423"/>
      <c r="L176" s="418"/>
      <c r="M176" s="418"/>
      <c r="N176" s="418"/>
      <c r="O176" s="419"/>
    </row>
    <row r="177" spans="1:23" s="411" customFormat="1" ht="24" customHeight="1">
      <c r="B177" s="112"/>
      <c r="C177" s="569"/>
      <c r="D177" s="112"/>
      <c r="E177" s="112"/>
      <c r="F177" s="420"/>
      <c r="G177" s="421"/>
      <c r="H177" s="422"/>
      <c r="I177" s="422"/>
      <c r="J177" s="422"/>
      <c r="K177" s="423"/>
      <c r="L177" s="418"/>
      <c r="M177" s="418"/>
      <c r="N177" s="418"/>
      <c r="O177" s="419"/>
    </row>
    <row r="178" spans="1:23" s="411" customFormat="1" ht="24" customHeight="1">
      <c r="B178" s="112"/>
      <c r="C178" s="569"/>
      <c r="D178" s="112"/>
      <c r="E178" s="112"/>
      <c r="F178" s="420"/>
      <c r="G178" s="421"/>
      <c r="H178" s="422"/>
      <c r="I178" s="422"/>
      <c r="J178" s="422"/>
      <c r="K178" s="423"/>
      <c r="L178" s="418"/>
      <c r="M178" s="418"/>
      <c r="N178" s="418"/>
      <c r="O178" s="419"/>
    </row>
    <row r="179" spans="1:23" s="411" customFormat="1" ht="24" customHeight="1">
      <c r="B179" s="112"/>
      <c r="C179" s="569"/>
      <c r="D179" s="112"/>
      <c r="E179" s="112"/>
      <c r="F179" s="420"/>
      <c r="G179" s="421"/>
      <c r="H179" s="422"/>
      <c r="I179" s="422"/>
      <c r="J179" s="422"/>
      <c r="K179" s="423"/>
      <c r="L179" s="418"/>
      <c r="M179" s="418"/>
      <c r="N179" s="418"/>
      <c r="O179" s="419"/>
    </row>
    <row r="180" spans="1:23" s="424" customFormat="1" ht="24" customHeight="1">
      <c r="A180" s="411"/>
      <c r="B180" s="112"/>
      <c r="C180" s="569"/>
      <c r="D180" s="112"/>
      <c r="E180" s="112"/>
      <c r="F180" s="420"/>
      <c r="G180" s="421"/>
      <c r="H180" s="422"/>
      <c r="I180" s="422"/>
      <c r="J180" s="422"/>
      <c r="K180" s="423"/>
      <c r="L180" s="418"/>
      <c r="M180" s="418"/>
      <c r="N180" s="418"/>
      <c r="O180" s="419"/>
      <c r="P180" s="411"/>
      <c r="Q180" s="411"/>
      <c r="R180" s="411"/>
      <c r="S180" s="411"/>
      <c r="T180" s="411"/>
      <c r="U180" s="411"/>
      <c r="V180" s="411"/>
      <c r="W180" s="411"/>
    </row>
    <row r="181" spans="1:23" s="411" customFormat="1" ht="24" customHeight="1">
      <c r="B181" s="112"/>
      <c r="C181" s="569"/>
      <c r="D181" s="112"/>
      <c r="E181" s="112"/>
      <c r="F181" s="420"/>
      <c r="G181" s="421"/>
      <c r="H181" s="422"/>
      <c r="I181" s="422"/>
      <c r="J181" s="422"/>
      <c r="K181" s="423"/>
      <c r="L181" s="418"/>
      <c r="M181" s="418"/>
      <c r="N181" s="418"/>
      <c r="O181" s="419"/>
    </row>
    <row r="182" spans="1:23" s="411" customFormat="1" ht="24" customHeight="1">
      <c r="B182" s="112"/>
      <c r="C182" s="569"/>
      <c r="D182" s="112"/>
      <c r="E182" s="112"/>
      <c r="F182" s="420"/>
      <c r="G182" s="421"/>
      <c r="H182" s="422"/>
      <c r="I182" s="422"/>
      <c r="J182" s="422"/>
      <c r="K182" s="423"/>
      <c r="L182" s="418"/>
      <c r="M182" s="418"/>
      <c r="N182" s="418"/>
      <c r="O182" s="419"/>
    </row>
    <row r="183" spans="1:23" s="411" customFormat="1" ht="24" customHeight="1">
      <c r="B183" s="112"/>
      <c r="C183" s="569"/>
      <c r="D183" s="112"/>
      <c r="E183" s="112"/>
      <c r="F183" s="420"/>
      <c r="G183" s="421"/>
      <c r="H183" s="422"/>
      <c r="I183" s="422"/>
      <c r="J183" s="422"/>
      <c r="K183" s="423"/>
      <c r="L183" s="418"/>
      <c r="M183" s="418"/>
      <c r="N183" s="418"/>
      <c r="O183" s="419"/>
    </row>
    <row r="184" spans="1:23" s="411" customFormat="1" ht="24" customHeight="1">
      <c r="B184" s="112"/>
      <c r="C184" s="569"/>
      <c r="D184" s="112"/>
      <c r="E184" s="112"/>
      <c r="F184" s="420"/>
      <c r="G184" s="421"/>
      <c r="H184" s="422"/>
      <c r="I184" s="422"/>
      <c r="J184" s="422"/>
      <c r="K184" s="423"/>
      <c r="L184" s="418"/>
      <c r="M184" s="418"/>
      <c r="N184" s="418"/>
      <c r="O184" s="419"/>
    </row>
    <row r="185" spans="1:23" s="411" customFormat="1" ht="24" customHeight="1">
      <c r="B185" s="112"/>
      <c r="C185" s="569"/>
      <c r="D185" s="112"/>
      <c r="E185" s="112"/>
      <c r="F185" s="420"/>
      <c r="G185" s="421"/>
      <c r="H185" s="422"/>
      <c r="I185" s="422"/>
      <c r="J185" s="422"/>
      <c r="K185" s="423"/>
      <c r="L185" s="418"/>
      <c r="M185" s="418"/>
      <c r="N185" s="418"/>
      <c r="O185" s="419"/>
    </row>
    <row r="186" spans="1:23" s="411" customFormat="1" ht="24" customHeight="1">
      <c r="B186" s="112"/>
      <c r="C186" s="569"/>
      <c r="D186" s="112"/>
      <c r="E186" s="112"/>
      <c r="F186" s="420"/>
      <c r="G186" s="421"/>
      <c r="H186" s="422"/>
      <c r="I186" s="422"/>
      <c r="J186" s="422"/>
      <c r="K186" s="423"/>
      <c r="L186" s="418"/>
      <c r="M186" s="418"/>
      <c r="N186" s="418"/>
      <c r="O186" s="419"/>
    </row>
    <row r="187" spans="1:23" s="411" customFormat="1" ht="24" customHeight="1">
      <c r="B187" s="112"/>
      <c r="C187" s="569"/>
      <c r="D187" s="112"/>
      <c r="E187" s="112"/>
      <c r="F187" s="420"/>
      <c r="G187" s="421"/>
      <c r="H187" s="422"/>
      <c r="I187" s="422"/>
      <c r="J187" s="422"/>
      <c r="K187" s="423"/>
      <c r="L187" s="418"/>
      <c r="M187" s="418"/>
      <c r="N187" s="418"/>
      <c r="O187" s="419"/>
    </row>
    <row r="188" spans="1:23" s="411" customFormat="1" ht="24" customHeight="1">
      <c r="B188" s="112"/>
      <c r="C188" s="569"/>
      <c r="D188" s="112"/>
      <c r="E188" s="112"/>
      <c r="F188" s="420"/>
      <c r="G188" s="421"/>
      <c r="H188" s="422"/>
      <c r="I188" s="422"/>
      <c r="J188" s="422"/>
      <c r="K188" s="423"/>
      <c r="L188" s="418"/>
      <c r="M188" s="418"/>
      <c r="N188" s="418"/>
      <c r="O188" s="419"/>
    </row>
    <row r="189" spans="1:23" s="411" customFormat="1" ht="24" customHeight="1">
      <c r="B189" s="112"/>
      <c r="C189" s="569"/>
      <c r="D189" s="112"/>
      <c r="E189" s="112"/>
      <c r="F189" s="420"/>
      <c r="G189" s="421"/>
      <c r="H189" s="422"/>
      <c r="I189" s="422"/>
      <c r="J189" s="422"/>
      <c r="K189" s="423"/>
      <c r="L189" s="418"/>
      <c r="M189" s="418"/>
      <c r="N189" s="418"/>
      <c r="O189" s="419"/>
    </row>
    <row r="190" spans="1:23" s="411" customFormat="1" ht="24" customHeight="1">
      <c r="B190" s="112"/>
      <c r="C190" s="569"/>
      <c r="D190" s="112"/>
      <c r="E190" s="112"/>
      <c r="F190" s="420"/>
      <c r="G190" s="421"/>
      <c r="H190" s="422"/>
      <c r="I190" s="422"/>
      <c r="J190" s="422"/>
      <c r="K190" s="423"/>
      <c r="L190" s="418"/>
      <c r="M190" s="418"/>
      <c r="N190" s="418"/>
      <c r="O190" s="419"/>
    </row>
    <row r="191" spans="1:23" s="411" customFormat="1" ht="24" customHeight="1">
      <c r="B191" s="112"/>
      <c r="C191" s="569"/>
      <c r="D191" s="112"/>
      <c r="E191" s="112"/>
      <c r="F191" s="420"/>
      <c r="G191" s="421"/>
      <c r="H191" s="422"/>
      <c r="I191" s="422"/>
      <c r="J191" s="422"/>
      <c r="K191" s="423"/>
      <c r="L191" s="418"/>
      <c r="M191" s="418"/>
      <c r="N191" s="418"/>
      <c r="O191" s="419"/>
    </row>
    <row r="192" spans="1:23" s="411" customFormat="1" ht="24" customHeight="1">
      <c r="B192" s="112"/>
      <c r="C192" s="569"/>
      <c r="D192" s="112"/>
      <c r="E192" s="112"/>
      <c r="F192" s="420"/>
      <c r="G192" s="421"/>
      <c r="H192" s="422"/>
      <c r="I192" s="422"/>
      <c r="J192" s="422"/>
      <c r="K192" s="423"/>
      <c r="L192" s="418"/>
      <c r="M192" s="418"/>
      <c r="N192" s="418"/>
      <c r="O192" s="419"/>
    </row>
    <row r="193" spans="2:15" s="411" customFormat="1" ht="24" customHeight="1">
      <c r="B193" s="112"/>
      <c r="C193" s="569"/>
      <c r="D193" s="112"/>
      <c r="E193" s="112"/>
      <c r="F193" s="420"/>
      <c r="G193" s="421"/>
      <c r="H193" s="422"/>
      <c r="I193" s="422"/>
      <c r="J193" s="422"/>
      <c r="K193" s="423"/>
      <c r="L193" s="418"/>
      <c r="M193" s="418"/>
      <c r="N193" s="418"/>
      <c r="O193" s="419"/>
    </row>
    <row r="194" spans="2:15" s="411" customFormat="1" ht="24" customHeight="1">
      <c r="B194" s="112"/>
      <c r="C194" s="569"/>
      <c r="D194" s="112"/>
      <c r="E194" s="112"/>
      <c r="F194" s="420"/>
      <c r="G194" s="421"/>
      <c r="H194" s="422"/>
      <c r="I194" s="422"/>
      <c r="J194" s="422"/>
      <c r="K194" s="423"/>
      <c r="L194" s="418"/>
      <c r="M194" s="418"/>
      <c r="N194" s="418"/>
      <c r="O194" s="419"/>
    </row>
    <row r="195" spans="2:15" s="411" customFormat="1" ht="25.5" customHeight="1">
      <c r="B195" s="112"/>
      <c r="C195" s="569"/>
      <c r="D195" s="112"/>
      <c r="E195" s="112"/>
      <c r="F195" s="420"/>
      <c r="G195" s="421"/>
      <c r="H195" s="422"/>
      <c r="I195" s="422"/>
      <c r="J195" s="422"/>
      <c r="K195" s="423"/>
      <c r="L195" s="418"/>
      <c r="M195" s="418"/>
      <c r="N195" s="418"/>
      <c r="O195" s="419"/>
    </row>
    <row r="196" spans="2:15" s="411" customFormat="1" ht="25.5" customHeight="1">
      <c r="B196" s="112"/>
      <c r="C196" s="569"/>
      <c r="D196" s="112"/>
      <c r="E196" s="112"/>
      <c r="F196" s="420"/>
      <c r="G196" s="421"/>
      <c r="H196" s="422"/>
      <c r="I196" s="422"/>
      <c r="J196" s="422"/>
      <c r="K196" s="423"/>
      <c r="L196" s="418"/>
      <c r="M196" s="418"/>
      <c r="N196" s="418"/>
      <c r="O196" s="419"/>
    </row>
    <row r="197" spans="2:15" s="411" customFormat="1" ht="25.5" customHeight="1">
      <c r="B197" s="112"/>
      <c r="C197" s="569"/>
      <c r="D197" s="112"/>
      <c r="E197" s="112"/>
      <c r="F197" s="420"/>
      <c r="G197" s="421"/>
      <c r="H197" s="422"/>
      <c r="I197" s="422"/>
      <c r="J197" s="422"/>
      <c r="K197" s="423"/>
      <c r="L197" s="418"/>
      <c r="M197" s="418"/>
      <c r="N197" s="418"/>
      <c r="O197" s="419"/>
    </row>
    <row r="198" spans="2:15" s="411" customFormat="1" ht="25.5" customHeight="1">
      <c r="B198" s="112"/>
      <c r="C198" s="569"/>
      <c r="D198" s="112"/>
      <c r="E198" s="112"/>
      <c r="F198" s="420"/>
      <c r="G198" s="421"/>
      <c r="H198" s="422"/>
      <c r="I198" s="422"/>
      <c r="J198" s="422"/>
      <c r="K198" s="423"/>
      <c r="L198" s="418"/>
      <c r="M198" s="418"/>
      <c r="N198" s="418"/>
      <c r="O198" s="419"/>
    </row>
    <row r="199" spans="2:15" s="411" customFormat="1" ht="25.5" customHeight="1">
      <c r="B199" s="112"/>
      <c r="C199" s="569"/>
      <c r="D199" s="112"/>
      <c r="E199" s="112"/>
      <c r="F199" s="420"/>
      <c r="G199" s="421"/>
      <c r="H199" s="422"/>
      <c r="I199" s="422"/>
      <c r="J199" s="422"/>
      <c r="K199" s="423"/>
      <c r="L199" s="418"/>
      <c r="M199" s="418"/>
      <c r="N199" s="418"/>
      <c r="O199" s="419"/>
    </row>
    <row r="200" spans="2:15" s="411" customFormat="1" ht="25.5" customHeight="1">
      <c r="B200" s="118"/>
      <c r="C200" s="116"/>
      <c r="D200" s="116"/>
      <c r="E200" s="116"/>
      <c r="K200" s="425"/>
      <c r="M200" s="426"/>
      <c r="O200" s="419"/>
    </row>
    <row r="201" spans="2:15" s="411" customFormat="1" ht="25.5" customHeight="1">
      <c r="B201" s="118"/>
      <c r="C201" s="116"/>
      <c r="D201" s="116"/>
      <c r="E201" s="116"/>
      <c r="K201" s="425"/>
      <c r="M201" s="426"/>
      <c r="O201" s="419"/>
    </row>
    <row r="202" spans="2:15" s="411" customFormat="1" ht="25.5" customHeight="1">
      <c r="B202" s="118"/>
      <c r="C202" s="116"/>
      <c r="D202" s="116"/>
      <c r="E202" s="116"/>
      <c r="K202" s="425"/>
      <c r="M202" s="426"/>
      <c r="O202" s="419"/>
    </row>
    <row r="203" spans="2:15" s="411" customFormat="1" ht="25.5" customHeight="1">
      <c r="B203" s="118"/>
      <c r="C203" s="116"/>
      <c r="D203" s="116"/>
      <c r="E203" s="116"/>
      <c r="K203" s="425"/>
      <c r="M203" s="426"/>
      <c r="O203" s="419"/>
    </row>
    <row r="204" spans="2:15" s="411" customFormat="1" ht="25.5" customHeight="1">
      <c r="B204" s="118"/>
      <c r="C204" s="116"/>
      <c r="D204" s="116"/>
      <c r="E204" s="116"/>
      <c r="K204" s="425"/>
      <c r="M204" s="426"/>
      <c r="O204" s="419"/>
    </row>
    <row r="205" spans="2:15" s="411" customFormat="1" ht="25.5" customHeight="1">
      <c r="B205" s="118"/>
      <c r="C205" s="116"/>
      <c r="D205" s="116"/>
      <c r="E205" s="116"/>
      <c r="K205" s="425"/>
      <c r="M205" s="426"/>
      <c r="O205" s="419"/>
    </row>
    <row r="206" spans="2:15" s="411" customFormat="1" ht="25.5" customHeight="1">
      <c r="B206" s="118"/>
      <c r="C206" s="116"/>
      <c r="D206" s="116"/>
      <c r="E206" s="116"/>
      <c r="K206" s="425"/>
      <c r="M206" s="426"/>
      <c r="O206" s="419"/>
    </row>
    <row r="207" spans="2:15" s="411" customFormat="1" ht="25.5" customHeight="1">
      <c r="B207" s="118"/>
      <c r="C207" s="116"/>
      <c r="D207" s="116"/>
      <c r="E207" s="116"/>
      <c r="K207" s="425"/>
      <c r="M207" s="426"/>
      <c r="O207" s="419"/>
    </row>
    <row r="208" spans="2:15" s="411" customFormat="1" ht="25.5" customHeight="1">
      <c r="B208" s="118"/>
      <c r="C208" s="116"/>
      <c r="D208" s="116"/>
      <c r="E208" s="116"/>
      <c r="K208" s="425"/>
      <c r="M208" s="426"/>
      <c r="O208" s="419"/>
    </row>
    <row r="209" spans="2:15" s="411" customFormat="1" ht="25.5" customHeight="1">
      <c r="B209" s="118"/>
      <c r="C209" s="116"/>
      <c r="D209" s="116"/>
      <c r="E209" s="116"/>
      <c r="K209" s="425"/>
      <c r="M209" s="426"/>
      <c r="O209" s="419"/>
    </row>
    <row r="210" spans="2:15" s="411" customFormat="1" ht="25.5" customHeight="1">
      <c r="B210" s="118"/>
      <c r="C210" s="116"/>
      <c r="D210" s="116"/>
      <c r="E210" s="116"/>
      <c r="K210" s="425"/>
      <c r="M210" s="426"/>
      <c r="O210" s="419"/>
    </row>
    <row r="211" spans="2:15" s="411" customFormat="1" ht="25.5" customHeight="1">
      <c r="B211" s="118"/>
      <c r="C211" s="116"/>
      <c r="D211" s="116"/>
      <c r="E211" s="116"/>
      <c r="K211" s="425"/>
      <c r="M211" s="426"/>
      <c r="O211" s="419"/>
    </row>
    <row r="212" spans="2:15" s="411" customFormat="1" ht="25.5" customHeight="1">
      <c r="B212" s="118"/>
      <c r="C212" s="116"/>
      <c r="D212" s="116"/>
      <c r="E212" s="116"/>
      <c r="K212" s="425"/>
      <c r="M212" s="426"/>
      <c r="O212" s="419"/>
    </row>
    <row r="213" spans="2:15" s="411" customFormat="1" ht="25.5" customHeight="1">
      <c r="B213" s="118"/>
      <c r="C213" s="116"/>
      <c r="D213" s="116"/>
      <c r="E213" s="116"/>
      <c r="K213" s="425"/>
      <c r="M213" s="426"/>
      <c r="O213" s="419"/>
    </row>
    <row r="214" spans="2:15" s="411" customFormat="1" ht="25.5" customHeight="1">
      <c r="B214" s="118"/>
      <c r="C214" s="116"/>
      <c r="D214" s="116"/>
      <c r="E214" s="116"/>
      <c r="K214" s="425"/>
      <c r="M214" s="426"/>
      <c r="O214" s="419"/>
    </row>
    <row r="215" spans="2:15" s="411" customFormat="1" ht="25.5" customHeight="1">
      <c r="B215" s="118"/>
      <c r="C215" s="116"/>
      <c r="D215" s="116"/>
      <c r="E215" s="116"/>
      <c r="K215" s="425"/>
      <c r="M215" s="426"/>
      <c r="O215" s="419"/>
    </row>
    <row r="216" spans="2:15" s="411" customFormat="1" ht="25.5" customHeight="1">
      <c r="B216" s="118"/>
      <c r="C216" s="116"/>
      <c r="D216" s="116"/>
      <c r="E216" s="116"/>
      <c r="K216" s="425"/>
      <c r="M216" s="426"/>
      <c r="O216" s="419"/>
    </row>
    <row r="217" spans="2:15" s="411" customFormat="1" ht="25.5" customHeight="1">
      <c r="B217" s="118"/>
      <c r="C217" s="116"/>
      <c r="D217" s="116"/>
      <c r="E217" s="116"/>
      <c r="K217" s="425"/>
      <c r="M217" s="426"/>
      <c r="O217" s="419"/>
    </row>
    <row r="218" spans="2:15" s="411" customFormat="1" ht="25.5" customHeight="1">
      <c r="B218" s="118"/>
      <c r="C218" s="116"/>
      <c r="D218" s="116"/>
      <c r="E218" s="116"/>
      <c r="K218" s="425"/>
      <c r="M218" s="426"/>
      <c r="O218" s="419"/>
    </row>
    <row r="219" spans="2:15" s="411" customFormat="1" ht="25.5" customHeight="1">
      <c r="B219" s="118"/>
      <c r="C219" s="116"/>
      <c r="D219" s="116"/>
      <c r="E219" s="116"/>
      <c r="K219" s="425"/>
      <c r="M219" s="426"/>
      <c r="O219" s="419"/>
    </row>
    <row r="220" spans="2:15" s="411" customFormat="1" ht="25.5" customHeight="1">
      <c r="B220" s="118"/>
      <c r="C220" s="116"/>
      <c r="D220" s="116"/>
      <c r="E220" s="116"/>
      <c r="K220" s="425"/>
      <c r="M220" s="426"/>
      <c r="O220" s="419"/>
    </row>
    <row r="221" spans="2:15" s="411" customFormat="1" ht="25.5" customHeight="1">
      <c r="B221" s="118"/>
      <c r="C221" s="116"/>
      <c r="D221" s="116"/>
      <c r="E221" s="116"/>
      <c r="K221" s="425"/>
      <c r="M221" s="426"/>
      <c r="O221" s="419"/>
    </row>
    <row r="222" spans="2:15" s="411" customFormat="1" ht="25.5" customHeight="1">
      <c r="B222" s="118"/>
      <c r="C222" s="116"/>
      <c r="D222" s="116"/>
      <c r="E222" s="116"/>
      <c r="K222" s="425"/>
      <c r="M222" s="426"/>
      <c r="O222" s="419"/>
    </row>
    <row r="223" spans="2:15" s="411" customFormat="1" ht="25.5" customHeight="1">
      <c r="B223" s="118"/>
      <c r="C223" s="116"/>
      <c r="D223" s="116"/>
      <c r="E223" s="116"/>
      <c r="K223" s="425"/>
      <c r="M223" s="426"/>
      <c r="O223" s="419"/>
    </row>
    <row r="224" spans="2:15" s="411" customFormat="1" ht="25.5" customHeight="1">
      <c r="B224" s="118"/>
      <c r="C224" s="116"/>
      <c r="D224" s="116"/>
      <c r="E224" s="116"/>
      <c r="K224" s="425"/>
      <c r="M224" s="426"/>
      <c r="O224" s="419"/>
    </row>
    <row r="225" spans="2:15" s="411" customFormat="1" ht="25.5" customHeight="1">
      <c r="B225" s="118"/>
      <c r="C225" s="116"/>
      <c r="D225" s="116"/>
      <c r="E225" s="116"/>
      <c r="K225" s="425"/>
      <c r="M225" s="426"/>
      <c r="O225" s="419"/>
    </row>
    <row r="226" spans="2:15" s="411" customFormat="1" ht="25.5" customHeight="1">
      <c r="B226" s="118"/>
      <c r="C226" s="116"/>
      <c r="D226" s="116"/>
      <c r="E226" s="116"/>
      <c r="K226" s="425"/>
      <c r="M226" s="426"/>
      <c r="O226" s="419"/>
    </row>
    <row r="227" spans="2:15" s="411" customFormat="1" ht="25.5" customHeight="1">
      <c r="B227" s="118"/>
      <c r="C227" s="116"/>
      <c r="D227" s="116"/>
      <c r="E227" s="116"/>
      <c r="K227" s="425"/>
      <c r="M227" s="426"/>
      <c r="O227" s="419"/>
    </row>
    <row r="228" spans="2:15" s="411" customFormat="1" ht="25.5" customHeight="1">
      <c r="B228" s="118"/>
      <c r="C228" s="116"/>
      <c r="D228" s="116"/>
      <c r="E228" s="116"/>
      <c r="K228" s="425"/>
      <c r="M228" s="426"/>
      <c r="O228" s="419"/>
    </row>
    <row r="229" spans="2:15" s="411" customFormat="1" ht="25.5" customHeight="1">
      <c r="B229" s="118"/>
      <c r="C229" s="116"/>
      <c r="D229" s="116"/>
      <c r="E229" s="116"/>
      <c r="K229" s="425"/>
      <c r="M229" s="426"/>
      <c r="O229" s="419"/>
    </row>
    <row r="230" spans="2:15" s="411" customFormat="1" ht="25.5" customHeight="1">
      <c r="B230" s="118"/>
      <c r="C230" s="116"/>
      <c r="D230" s="116"/>
      <c r="E230" s="116"/>
      <c r="K230" s="425"/>
      <c r="M230" s="426"/>
      <c r="O230" s="419"/>
    </row>
    <row r="231" spans="2:15" s="411" customFormat="1" ht="25.5" customHeight="1">
      <c r="B231" s="118"/>
      <c r="C231" s="116"/>
      <c r="D231" s="116"/>
      <c r="E231" s="116"/>
      <c r="K231" s="425"/>
      <c r="M231" s="426"/>
      <c r="O231" s="419"/>
    </row>
    <row r="232" spans="2:15" s="411" customFormat="1" ht="25.5" customHeight="1">
      <c r="B232" s="118"/>
      <c r="C232" s="116"/>
      <c r="D232" s="116"/>
      <c r="E232" s="116"/>
      <c r="K232" s="425"/>
      <c r="M232" s="426"/>
      <c r="O232" s="419"/>
    </row>
    <row r="233" spans="2:15" s="411" customFormat="1" ht="25.5" customHeight="1">
      <c r="B233" s="118"/>
      <c r="C233" s="116"/>
      <c r="D233" s="116"/>
      <c r="E233" s="116"/>
      <c r="K233" s="425"/>
      <c r="M233" s="426"/>
      <c r="O233" s="419"/>
    </row>
    <row r="234" spans="2:15" s="411" customFormat="1" ht="25.5" customHeight="1">
      <c r="B234" s="118"/>
      <c r="C234" s="116"/>
      <c r="D234" s="116"/>
      <c r="E234" s="116"/>
      <c r="K234" s="425"/>
      <c r="M234" s="426"/>
      <c r="O234" s="419"/>
    </row>
    <row r="235" spans="2:15" s="411" customFormat="1" ht="25.5" customHeight="1">
      <c r="B235" s="118"/>
      <c r="C235" s="116"/>
      <c r="D235" s="116"/>
      <c r="E235" s="116"/>
      <c r="K235" s="425"/>
      <c r="M235" s="426"/>
      <c r="O235" s="419"/>
    </row>
    <row r="236" spans="2:15" s="411" customFormat="1" ht="25.5" customHeight="1">
      <c r="B236" s="118"/>
      <c r="C236" s="116"/>
      <c r="D236" s="116"/>
      <c r="E236" s="116"/>
      <c r="K236" s="425"/>
      <c r="M236" s="426"/>
      <c r="O236" s="419"/>
    </row>
    <row r="237" spans="2:15" s="411" customFormat="1" ht="25.5" customHeight="1">
      <c r="B237" s="118"/>
      <c r="C237" s="116"/>
      <c r="D237" s="116"/>
      <c r="E237" s="116"/>
      <c r="K237" s="425"/>
      <c r="M237" s="426"/>
      <c r="O237" s="419"/>
    </row>
    <row r="238" spans="2:15" s="411" customFormat="1" ht="25.5" customHeight="1">
      <c r="B238" s="118"/>
      <c r="C238" s="116"/>
      <c r="D238" s="116"/>
      <c r="E238" s="116"/>
      <c r="K238" s="425"/>
      <c r="M238" s="426"/>
      <c r="O238" s="419"/>
    </row>
    <row r="239" spans="2:15" s="411" customFormat="1" ht="25.5" customHeight="1">
      <c r="B239" s="118"/>
      <c r="C239" s="116"/>
      <c r="D239" s="116"/>
      <c r="E239" s="116"/>
      <c r="K239" s="425"/>
      <c r="M239" s="426"/>
      <c r="O239" s="419"/>
    </row>
    <row r="240" spans="2:15" s="411" customFormat="1" ht="25.5" customHeight="1">
      <c r="B240" s="118"/>
      <c r="C240" s="116"/>
      <c r="D240" s="116"/>
      <c r="E240" s="116"/>
      <c r="K240" s="425"/>
      <c r="M240" s="426"/>
      <c r="O240" s="419"/>
    </row>
    <row r="241" spans="2:15" s="411" customFormat="1" ht="25.5" customHeight="1">
      <c r="B241" s="118"/>
      <c r="C241" s="116"/>
      <c r="D241" s="116"/>
      <c r="E241" s="116"/>
      <c r="K241" s="425"/>
      <c r="M241" s="426"/>
      <c r="O241" s="419"/>
    </row>
    <row r="242" spans="2:15" s="411" customFormat="1" ht="25.5" customHeight="1">
      <c r="B242" s="118"/>
      <c r="C242" s="116"/>
      <c r="D242" s="116"/>
      <c r="E242" s="116"/>
      <c r="K242" s="425"/>
      <c r="M242" s="426"/>
      <c r="O242" s="419"/>
    </row>
    <row r="243" spans="2:15" s="411" customFormat="1" ht="25.5" customHeight="1">
      <c r="B243" s="118"/>
      <c r="C243" s="116"/>
      <c r="D243" s="116"/>
      <c r="E243" s="116"/>
      <c r="K243" s="425"/>
      <c r="M243" s="426"/>
      <c r="O243" s="419"/>
    </row>
    <row r="244" spans="2:15" s="411" customFormat="1" ht="25.5" customHeight="1">
      <c r="B244" s="118"/>
      <c r="C244" s="116"/>
      <c r="D244" s="116"/>
      <c r="E244" s="116"/>
      <c r="K244" s="425"/>
      <c r="M244" s="426"/>
      <c r="O244" s="419"/>
    </row>
    <row r="245" spans="2:15" s="411" customFormat="1" ht="25.5" customHeight="1">
      <c r="B245" s="118"/>
      <c r="C245" s="116"/>
      <c r="D245" s="116"/>
      <c r="E245" s="116"/>
      <c r="K245" s="425"/>
      <c r="M245" s="426"/>
      <c r="O245" s="419"/>
    </row>
    <row r="246" spans="2:15" s="411" customFormat="1" ht="25.5" customHeight="1">
      <c r="B246" s="118"/>
      <c r="C246" s="116"/>
      <c r="D246" s="116"/>
      <c r="E246" s="116"/>
      <c r="K246" s="425"/>
      <c r="M246" s="426"/>
      <c r="O246" s="419"/>
    </row>
    <row r="247" spans="2:15" s="411" customFormat="1" ht="25.5" customHeight="1">
      <c r="B247" s="118"/>
      <c r="C247" s="116"/>
      <c r="D247" s="116"/>
      <c r="E247" s="116"/>
      <c r="K247" s="425"/>
      <c r="M247" s="426"/>
      <c r="O247" s="419"/>
    </row>
    <row r="248" spans="2:15" s="411" customFormat="1" ht="25.5" customHeight="1">
      <c r="B248" s="115"/>
      <c r="C248" s="117"/>
      <c r="D248" s="117"/>
      <c r="E248" s="117"/>
      <c r="F248" s="419"/>
      <c r="G248" s="419"/>
      <c r="H248" s="419"/>
      <c r="I248" s="419"/>
      <c r="J248" s="419"/>
      <c r="K248" s="423"/>
      <c r="L248" s="419"/>
      <c r="M248" s="427"/>
      <c r="O248" s="419"/>
    </row>
    <row r="249" spans="2:15" s="411" customFormat="1" ht="25.5" customHeight="1">
      <c r="B249" s="118"/>
      <c r="C249" s="116"/>
      <c r="D249" s="116"/>
      <c r="E249" s="116"/>
      <c r="K249" s="425"/>
      <c r="M249" s="426"/>
      <c r="O249" s="419"/>
    </row>
    <row r="250" spans="2:15" s="411" customFormat="1" ht="25.5" customHeight="1">
      <c r="B250" s="118"/>
      <c r="C250" s="116"/>
      <c r="D250" s="116"/>
      <c r="E250" s="116"/>
      <c r="K250" s="425"/>
      <c r="M250" s="426"/>
      <c r="O250" s="419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8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8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8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8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8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8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8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8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8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8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8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8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8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8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8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8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8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8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8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8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8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8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8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8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8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8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8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8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8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8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8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8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8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8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8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8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8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8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8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8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8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8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8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8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8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8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8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8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8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8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8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8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8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8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8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8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8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8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8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8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8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8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8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8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8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8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8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8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8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8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8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8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8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8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8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8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8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8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8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8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8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8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8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8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8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8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8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8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8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8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8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8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8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8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8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8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8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8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8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8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8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8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8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8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8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8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8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8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8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8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8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8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8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8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8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8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8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8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8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8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8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8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8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8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8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8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8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8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8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8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8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8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8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8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8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8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8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8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8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8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8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8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8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8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8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8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8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8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8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8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8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8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8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8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8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8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8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8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8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8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8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8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8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8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8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8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8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8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8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8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8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8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8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8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8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8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8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8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8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8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8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8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8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8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8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8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8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8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8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8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8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8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8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8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8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8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8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8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8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8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8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8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8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8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8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8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8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8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8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8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8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8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8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8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8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8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8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8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8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8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8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8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8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8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8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8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8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8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8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8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8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8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8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8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8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8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8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8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8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8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8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8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8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8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8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8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8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8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8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8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8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8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8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8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8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8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8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8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8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8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8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8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8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8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8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8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8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8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8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8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8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8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8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8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8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8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8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8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8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8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8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8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8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8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8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8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8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8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8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8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8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8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8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8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8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8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8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8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8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8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8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8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8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48" zoomScale="120" zoomScaleNormal="120" workbookViewId="0">
      <selection activeCell="E56" sqref="E56"/>
    </sheetView>
  </sheetViews>
  <sheetFormatPr baseColWidth="10" defaultColWidth="17.5" defaultRowHeight="30" customHeight="1"/>
  <cols>
    <col min="1" max="1" width="10.1640625" style="500" customWidth="1"/>
    <col min="2" max="3" width="17.5" style="500"/>
    <col min="4" max="4" width="17.5" style="507"/>
    <col min="5" max="6" width="23.1640625" style="500" bestFit="1" customWidth="1"/>
    <col min="7" max="7" width="22.5" style="538" bestFit="1" customWidth="1"/>
    <col min="8" max="16384" width="17.5" style="500"/>
  </cols>
  <sheetData>
    <row r="1" spans="2:14" s="52" customFormat="1" ht="30" customHeight="1">
      <c r="B1" s="53"/>
      <c r="D1" s="55"/>
      <c r="G1" s="534"/>
      <c r="L1" s="54"/>
      <c r="N1" s="55"/>
    </row>
    <row r="2" spans="2:14" s="152" customFormat="1" ht="30" customHeight="1">
      <c r="B2" s="125" t="s">
        <v>4</v>
      </c>
      <c r="C2" s="123"/>
      <c r="D2" s="124" t="s">
        <v>361</v>
      </c>
      <c r="E2" s="124" t="s">
        <v>362</v>
      </c>
      <c r="F2" s="124" t="s">
        <v>363</v>
      </c>
      <c r="G2" s="530" t="s">
        <v>364</v>
      </c>
      <c r="I2" s="123" t="s">
        <v>365</v>
      </c>
      <c r="J2" s="124"/>
      <c r="K2" s="124"/>
    </row>
    <row r="3" spans="2:14" s="52" customFormat="1" ht="30" customHeight="1">
      <c r="B3" s="135" t="s">
        <v>366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206</v>
      </c>
      <c r="J3" s="49"/>
      <c r="K3" s="497">
        <v>1</v>
      </c>
    </row>
    <row r="4" spans="2:14" s="52" customFormat="1" ht="30" customHeight="1">
      <c r="B4" s="86" t="s">
        <v>367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33">
        <f t="shared" si="1"/>
        <v>4.4279999999999999</v>
      </c>
      <c r="I4" s="122" t="s">
        <v>363</v>
      </c>
      <c r="K4" s="498">
        <v>9.8000000000000004E-2</v>
      </c>
    </row>
    <row r="5" spans="2:14" s="52" customFormat="1" ht="30" customHeight="1">
      <c r="B5" s="135" t="s">
        <v>368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271</v>
      </c>
      <c r="J5" s="49"/>
      <c r="K5" s="499">
        <v>1</v>
      </c>
    </row>
    <row r="6" spans="2:14" s="52" customFormat="1" ht="30" customHeight="1">
      <c r="B6" s="86" t="s">
        <v>369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370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6" t="s">
        <v>371</v>
      </c>
      <c r="C8" s="457"/>
      <c r="D8" s="150">
        <v>2.66</v>
      </c>
      <c r="E8" s="458">
        <f>D8*IAAS_vcpu_SEK*SEK</f>
        <v>212.8</v>
      </c>
      <c r="F8" s="459">
        <f>D8*IAAS_vcpu_SEK*EUR</f>
        <v>20.854400000000002</v>
      </c>
      <c r="G8" s="458">
        <f t="shared" si="1"/>
        <v>3.2718000000000003</v>
      </c>
      <c r="I8" s="125" t="s">
        <v>372</v>
      </c>
      <c r="J8" s="126" t="s">
        <v>373</v>
      </c>
      <c r="K8" s="124" t="s">
        <v>93</v>
      </c>
    </row>
    <row r="9" spans="2:14" s="52" customFormat="1" ht="30" customHeight="1">
      <c r="B9" s="135" t="s">
        <v>374</v>
      </c>
      <c r="C9" s="46"/>
      <c r="D9" s="150">
        <v>65</v>
      </c>
      <c r="E9" s="543" t="s">
        <v>95</v>
      </c>
      <c r="F9" s="544" t="s">
        <v>95</v>
      </c>
      <c r="G9" s="131">
        <f t="shared" si="1"/>
        <v>79.95</v>
      </c>
      <c r="I9" s="47" t="s">
        <v>375</v>
      </c>
      <c r="J9" s="145"/>
      <c r="K9" s="17">
        <f>J9*IAAS_vcpu_SEK</f>
        <v>0</v>
      </c>
    </row>
    <row r="10" spans="2:14" s="52" customFormat="1" ht="30" customHeight="1">
      <c r="B10" s="456" t="s">
        <v>376</v>
      </c>
      <c r="C10" s="457"/>
      <c r="D10" s="150">
        <v>85</v>
      </c>
      <c r="E10" s="545" t="s">
        <v>95</v>
      </c>
      <c r="F10" s="546" t="s">
        <v>95</v>
      </c>
      <c r="G10" s="458">
        <f t="shared" si="1"/>
        <v>104.55</v>
      </c>
      <c r="I10" s="127" t="s">
        <v>377</v>
      </c>
      <c r="J10" s="145"/>
      <c r="K10" s="87">
        <f>J10*IAAS_ram_SEK</f>
        <v>0</v>
      </c>
    </row>
    <row r="11" spans="2:14" s="153" customFormat="1" ht="30" customHeight="1">
      <c r="B11" s="135" t="s">
        <v>378</v>
      </c>
      <c r="C11" s="46"/>
      <c r="D11" s="150">
        <v>3.8</v>
      </c>
      <c r="E11" s="543" t="s">
        <v>95</v>
      </c>
      <c r="F11" s="544" t="s">
        <v>95</v>
      </c>
      <c r="G11" s="131">
        <f t="shared" si="1"/>
        <v>4.6739999999999995</v>
      </c>
      <c r="I11" s="128" t="s">
        <v>350</v>
      </c>
      <c r="J11" s="129"/>
      <c r="K11" s="130">
        <f>SUM(K9:K10)</f>
        <v>0</v>
      </c>
    </row>
    <row r="12" spans="2:14" s="52" customFormat="1" ht="30" customHeight="1">
      <c r="B12" s="460"/>
      <c r="C12" s="461"/>
      <c r="D12" s="462"/>
      <c r="E12" s="462"/>
      <c r="F12" s="462"/>
      <c r="G12" s="531"/>
      <c r="L12" s="54"/>
      <c r="N12" s="500"/>
    </row>
    <row r="13" spans="2:14" ht="30" customHeight="1">
      <c r="B13" s="125" t="s">
        <v>379</v>
      </c>
      <c r="C13" s="123"/>
      <c r="D13" s="124" t="s">
        <v>361</v>
      </c>
      <c r="E13" s="124" t="s">
        <v>206</v>
      </c>
      <c r="F13" s="124" t="s">
        <v>363</v>
      </c>
      <c r="G13" s="530" t="s">
        <v>380</v>
      </c>
      <c r="I13" s="125" t="s">
        <v>381</v>
      </c>
      <c r="J13" s="125"/>
      <c r="K13" s="126" t="s">
        <v>382</v>
      </c>
      <c r="L13" s="501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32"/>
      <c r="I14" s="47" t="s">
        <v>383</v>
      </c>
      <c r="J14" s="47"/>
      <c r="K14" s="528">
        <v>0</v>
      </c>
    </row>
    <row r="15" spans="2:14" s="502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33"/>
      <c r="I15" s="127" t="s">
        <v>384</v>
      </c>
      <c r="J15" s="127"/>
      <c r="K15" s="528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32"/>
      <c r="I16" s="128"/>
      <c r="J16" s="129"/>
      <c r="K16" s="529"/>
    </row>
    <row r="17" spans="2:7" s="502" customFormat="1" ht="30" customHeight="1">
      <c r="B17" s="146"/>
      <c r="C17" s="146"/>
      <c r="D17" s="154"/>
      <c r="E17" s="146"/>
      <c r="F17" s="146"/>
      <c r="G17" s="535"/>
    </row>
    <row r="18" spans="2:7" ht="30" customHeight="1">
      <c r="B18" s="125" t="s">
        <v>4</v>
      </c>
      <c r="C18" s="123"/>
      <c r="D18" s="124" t="s">
        <v>361</v>
      </c>
      <c r="E18" s="124" t="s">
        <v>206</v>
      </c>
      <c r="F18" s="124" t="s">
        <v>363</v>
      </c>
      <c r="G18" s="530" t="s">
        <v>380</v>
      </c>
    </row>
    <row r="19" spans="2:7" s="502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32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33">
        <f>(D20*(1+Safespring.price.increase))*(1+sunet.price.increase)</f>
        <v>4.4279999999999999</v>
      </c>
    </row>
    <row r="21" spans="2:7" s="502" customFormat="1" ht="30" customHeight="1">
      <c r="B21" s="503"/>
      <c r="C21" s="503"/>
      <c r="D21" s="504"/>
      <c r="E21" s="503"/>
      <c r="F21" s="503"/>
      <c r="G21" s="536"/>
    </row>
    <row r="22" spans="2:7" ht="30" customHeight="1">
      <c r="B22" s="125" t="s">
        <v>87</v>
      </c>
      <c r="C22" s="123"/>
      <c r="D22" s="124" t="s">
        <v>361</v>
      </c>
      <c r="E22" s="124" t="s">
        <v>206</v>
      </c>
      <c r="F22" s="124" t="s">
        <v>363</v>
      </c>
      <c r="G22" s="530" t="s">
        <v>380</v>
      </c>
    </row>
    <row r="23" spans="2:7" ht="30" customHeight="1">
      <c r="B23" s="135" t="s">
        <v>385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32"/>
    </row>
    <row r="24" spans="2:7" ht="30" customHeight="1">
      <c r="B24" s="86" t="s">
        <v>386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33"/>
    </row>
    <row r="25" spans="2:7" ht="30" customHeight="1">
      <c r="B25" s="135" t="s">
        <v>387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32"/>
    </row>
    <row r="26" spans="2:7" ht="30" customHeight="1">
      <c r="B26" s="86" t="s">
        <v>388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33"/>
    </row>
    <row r="27" spans="2:7" ht="30" customHeight="1">
      <c r="B27" s="135" t="s">
        <v>389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32"/>
    </row>
    <row r="28" spans="2:7" ht="30" customHeight="1">
      <c r="B28" s="505"/>
      <c r="C28" s="505"/>
      <c r="D28" s="505"/>
      <c r="E28" s="505"/>
      <c r="F28" s="505"/>
      <c r="G28" s="537"/>
    </row>
    <row r="29" spans="2:7" ht="30" customHeight="1">
      <c r="B29" s="125" t="s">
        <v>72</v>
      </c>
      <c r="C29" s="123"/>
      <c r="D29" s="124" t="s">
        <v>361</v>
      </c>
      <c r="E29" s="124" t="s">
        <v>206</v>
      </c>
      <c r="F29" s="124" t="s">
        <v>363</v>
      </c>
      <c r="G29" s="530" t="s">
        <v>380</v>
      </c>
    </row>
    <row r="30" spans="2:7" ht="30" customHeight="1">
      <c r="B30" s="135" t="s">
        <v>390</v>
      </c>
      <c r="C30" s="46"/>
      <c r="D30" s="434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32">
        <v>0.35</v>
      </c>
    </row>
    <row r="31" spans="2:7" ht="30" customHeight="1">
      <c r="B31" s="579" t="s">
        <v>391</v>
      </c>
      <c r="C31" s="85"/>
      <c r="D31" s="434">
        <v>270</v>
      </c>
      <c r="E31" s="132">
        <f t="shared" si="11"/>
        <v>270</v>
      </c>
      <c r="F31" s="134">
        <f t="shared" si="12"/>
        <v>26.46</v>
      </c>
      <c r="G31" s="533">
        <v>0.19</v>
      </c>
    </row>
    <row r="32" spans="2:7" ht="30" customHeight="1">
      <c r="B32" s="135" t="s">
        <v>392</v>
      </c>
      <c r="C32" s="46"/>
      <c r="D32" s="434">
        <v>200</v>
      </c>
      <c r="E32" s="131">
        <f t="shared" si="11"/>
        <v>200</v>
      </c>
      <c r="F32" s="133">
        <f t="shared" si="12"/>
        <v>19.600000000000001</v>
      </c>
      <c r="G32" s="532">
        <v>0.1</v>
      </c>
    </row>
    <row r="33" spans="2:7" ht="30" customHeight="1">
      <c r="B33" s="579" t="s">
        <v>393</v>
      </c>
      <c r="C33" s="85"/>
      <c r="D33" s="434">
        <v>185</v>
      </c>
      <c r="E33" s="132">
        <f t="shared" si="11"/>
        <v>185</v>
      </c>
      <c r="F33" s="134">
        <f t="shared" si="12"/>
        <v>18.13</v>
      </c>
      <c r="G33" s="533">
        <v>0.06</v>
      </c>
    </row>
    <row r="34" spans="2:7" ht="30" customHeight="1">
      <c r="B34" s="135" t="s">
        <v>394</v>
      </c>
      <c r="C34" s="46"/>
      <c r="D34" s="434" t="s">
        <v>395</v>
      </c>
      <c r="E34" s="158" t="str">
        <f>D34</f>
        <v>Be om offert</v>
      </c>
      <c r="F34" s="159" t="s">
        <v>399</v>
      </c>
      <c r="G34" s="158" t="str">
        <f>S3_storage.quote_SEK</f>
        <v>Be om offert</v>
      </c>
    </row>
    <row r="35" spans="2:7" ht="30" customHeight="1">
      <c r="B35" s="505"/>
      <c r="C35" s="505"/>
      <c r="D35" s="505"/>
      <c r="E35" s="505"/>
      <c r="F35" s="505"/>
      <c r="G35" s="537"/>
    </row>
    <row r="36" spans="2:7" ht="30" customHeight="1">
      <c r="B36" s="125" t="s">
        <v>396</v>
      </c>
      <c r="C36" s="123"/>
      <c r="D36" s="124" t="s">
        <v>361</v>
      </c>
      <c r="E36" s="124" t="s">
        <v>206</v>
      </c>
      <c r="F36" s="124" t="s">
        <v>363</v>
      </c>
      <c r="G36" s="530" t="s">
        <v>380</v>
      </c>
    </row>
    <row r="37" spans="2:7" ht="30" customHeight="1">
      <c r="B37" s="135" t="s">
        <v>105</v>
      </c>
      <c r="C37" s="46"/>
      <c r="D37" s="150">
        <v>20</v>
      </c>
      <c r="E37" s="131">
        <f t="shared" ref="E37:E42" si="13">D37*SEK</f>
        <v>20</v>
      </c>
      <c r="F37" s="133">
        <f>D37*EUR</f>
        <v>1.96</v>
      </c>
      <c r="G37" s="532" t="s">
        <v>95</v>
      </c>
    </row>
    <row r="38" spans="2:7" ht="30" customHeight="1">
      <c r="B38" s="86" t="s">
        <v>109</v>
      </c>
      <c r="C38" s="85"/>
      <c r="D38" s="150">
        <v>0</v>
      </c>
      <c r="E38" s="132">
        <f t="shared" si="13"/>
        <v>0</v>
      </c>
      <c r="F38" s="134">
        <f t="shared" ref="F38:F42" si="14">D38*EUR</f>
        <v>0</v>
      </c>
      <c r="G38" s="533" t="s">
        <v>95</v>
      </c>
    </row>
    <row r="39" spans="2:7" ht="30" customHeight="1">
      <c r="B39" s="135" t="s">
        <v>111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32" t="s">
        <v>95</v>
      </c>
    </row>
    <row r="40" spans="2:7" ht="30" customHeight="1">
      <c r="B40" s="86" t="s">
        <v>113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33" t="s">
        <v>95</v>
      </c>
    </row>
    <row r="41" spans="2:7" ht="30" customHeight="1">
      <c r="B41" s="135" t="s">
        <v>115</v>
      </c>
      <c r="C41" s="46"/>
      <c r="D41" s="150"/>
      <c r="E41" s="131" t="s">
        <v>418</v>
      </c>
      <c r="F41" s="472" t="s">
        <v>419</v>
      </c>
      <c r="G41" s="532" t="s">
        <v>95</v>
      </c>
    </row>
    <row r="42" spans="2:7" ht="30" customHeight="1">
      <c r="B42" s="86" t="s">
        <v>118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33" t="s">
        <v>95</v>
      </c>
    </row>
    <row r="43" spans="2:7" ht="30" customHeight="1">
      <c r="B43" s="135" t="s">
        <v>120</v>
      </c>
      <c r="C43" s="46"/>
      <c r="D43" s="150" t="s">
        <v>255</v>
      </c>
      <c r="E43" s="158" t="str">
        <f>D43</f>
        <v>Begär offert</v>
      </c>
      <c r="F43" s="159" t="s">
        <v>399</v>
      </c>
      <c r="G43" s="158" t="str">
        <f>S3_storage.quote_SEK</f>
        <v>Be om offert</v>
      </c>
    </row>
    <row r="44" spans="2:7" ht="30" customHeight="1">
      <c r="B44" s="86" t="s">
        <v>122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33" t="s">
        <v>95</v>
      </c>
    </row>
    <row r="45" spans="2:7" ht="30" customHeight="1">
      <c r="B45" s="503"/>
      <c r="C45" s="503"/>
      <c r="D45" s="504"/>
      <c r="E45" s="503"/>
      <c r="F45" s="503"/>
      <c r="G45" s="536"/>
    </row>
    <row r="46" spans="2:7" ht="30" customHeight="1">
      <c r="B46" s="125" t="s">
        <v>397</v>
      </c>
      <c r="C46" s="123"/>
      <c r="D46" s="124" t="s">
        <v>361</v>
      </c>
      <c r="E46" s="124" t="s">
        <v>206</v>
      </c>
      <c r="F46" s="124" t="s">
        <v>363</v>
      </c>
      <c r="G46" s="530" t="s">
        <v>380</v>
      </c>
    </row>
    <row r="47" spans="2:7" ht="30" customHeight="1">
      <c r="B47" s="135" t="s">
        <v>398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32" t="s">
        <v>95</v>
      </c>
    </row>
    <row r="48" spans="2:7" ht="30" customHeight="1">
      <c r="B48" s="86" t="s">
        <v>129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33" t="s">
        <v>95</v>
      </c>
    </row>
    <row r="49" spans="2:9" ht="30" customHeight="1">
      <c r="B49" s="135" t="s">
        <v>131</v>
      </c>
      <c r="C49" s="46"/>
      <c r="D49" s="150"/>
      <c r="E49" s="158" t="s">
        <v>255</v>
      </c>
      <c r="F49" s="159" t="s">
        <v>399</v>
      </c>
      <c r="G49" s="532" t="s">
        <v>95</v>
      </c>
    </row>
    <row r="50" spans="2:9" ht="30" customHeight="1">
      <c r="B50" s="86" t="s">
        <v>133</v>
      </c>
      <c r="C50" s="85"/>
      <c r="D50" s="150"/>
      <c r="E50" s="156" t="s">
        <v>255</v>
      </c>
      <c r="F50" s="157" t="s">
        <v>399</v>
      </c>
      <c r="G50" s="533" t="s">
        <v>95</v>
      </c>
    </row>
    <row r="51" spans="2:9" ht="30" customHeight="1">
      <c r="B51" s="135" t="s">
        <v>400</v>
      </c>
      <c r="C51" s="46"/>
      <c r="D51" s="150"/>
      <c r="E51" s="158" t="s">
        <v>255</v>
      </c>
      <c r="F51" s="159" t="s">
        <v>399</v>
      </c>
      <c r="G51" s="532" t="s">
        <v>95</v>
      </c>
    </row>
    <row r="52" spans="2:9" ht="30" customHeight="1">
      <c r="B52" s="86" t="s">
        <v>137</v>
      </c>
      <c r="C52" s="85"/>
      <c r="D52" s="150"/>
      <c r="E52" s="156" t="s">
        <v>401</v>
      </c>
      <c r="F52" s="157" t="s">
        <v>402</v>
      </c>
      <c r="G52" s="533" t="s">
        <v>95</v>
      </c>
    </row>
    <row r="53" spans="2:9" ht="30" customHeight="1">
      <c r="B53" s="135" t="s">
        <v>139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32" t="s">
        <v>95</v>
      </c>
      <c r="I53" s="506"/>
    </row>
    <row r="54" spans="2:9" ht="30" customHeight="1">
      <c r="B54" s="503"/>
      <c r="C54" s="503"/>
      <c r="D54" s="504"/>
      <c r="E54" s="503"/>
      <c r="F54" s="503"/>
      <c r="G54" s="536"/>
      <c r="I54" s="506"/>
    </row>
    <row r="55" spans="2:9" ht="30" customHeight="1">
      <c r="B55" s="125" t="s">
        <v>249</v>
      </c>
      <c r="C55" s="123"/>
      <c r="D55" s="124" t="s">
        <v>361</v>
      </c>
      <c r="E55" s="124" t="s">
        <v>206</v>
      </c>
      <c r="F55" s="124" t="s">
        <v>363</v>
      </c>
      <c r="G55" s="530" t="s">
        <v>380</v>
      </c>
      <c r="I55" s="506"/>
    </row>
    <row r="56" spans="2:9" ht="30" customHeight="1">
      <c r="B56" s="135" t="s">
        <v>421</v>
      </c>
      <c r="C56" s="46"/>
      <c r="D56" s="150">
        <v>24000</v>
      </c>
      <c r="E56" s="158">
        <f t="shared" ref="E56" si="18">D56*SEK</f>
        <v>24000</v>
      </c>
      <c r="F56" s="159">
        <f t="shared" ref="F56" si="19">D56*EUR</f>
        <v>2352</v>
      </c>
      <c r="G56" s="532" t="s">
        <v>95</v>
      </c>
      <c r="I56" s="506"/>
    </row>
    <row r="57" spans="2:9" ht="30" customHeight="1">
      <c r="B57" s="86" t="s">
        <v>422</v>
      </c>
      <c r="C57" s="85"/>
      <c r="D57" s="150">
        <v>15000</v>
      </c>
      <c r="E57" s="132">
        <f t="shared" ref="E57" si="20">D57*SEK</f>
        <v>15000</v>
      </c>
      <c r="F57" s="134">
        <f t="shared" ref="F57" si="21">D57*EUR</f>
        <v>1470</v>
      </c>
      <c r="G57" s="533" t="s">
        <v>95</v>
      </c>
      <c r="I57" s="506"/>
    </row>
    <row r="58" spans="2:9" ht="30" customHeight="1">
      <c r="B58" s="135" t="s">
        <v>144</v>
      </c>
      <c r="C58" s="46"/>
      <c r="D58" s="150"/>
      <c r="E58" s="158" t="s">
        <v>255</v>
      </c>
      <c r="F58" s="159" t="s">
        <v>399</v>
      </c>
      <c r="G58" s="532" t="s">
        <v>95</v>
      </c>
      <c r="I58" s="506"/>
    </row>
    <row r="59" spans="2:9" ht="30" customHeight="1">
      <c r="B59" s="86" t="s">
        <v>146</v>
      </c>
      <c r="C59" s="85"/>
      <c r="D59" s="150"/>
      <c r="E59" s="156" t="s">
        <v>255</v>
      </c>
      <c r="F59" s="157" t="s">
        <v>399</v>
      </c>
      <c r="G59" s="533" t="s">
        <v>95</v>
      </c>
      <c r="I59" s="506"/>
    </row>
    <row r="60" spans="2:9" ht="30" customHeight="1">
      <c r="B60" s="135" t="s">
        <v>149</v>
      </c>
      <c r="C60" s="46"/>
      <c r="D60" s="150"/>
      <c r="E60" s="158" t="s">
        <v>255</v>
      </c>
      <c r="F60" s="159" t="s">
        <v>399</v>
      </c>
      <c r="G60" s="532" t="s">
        <v>95</v>
      </c>
    </row>
    <row r="61" spans="2:9" ht="30" customHeight="1">
      <c r="B61" s="86" t="s">
        <v>152</v>
      </c>
      <c r="C61" s="85"/>
      <c r="D61" s="150"/>
      <c r="E61" s="156" t="s">
        <v>255</v>
      </c>
      <c r="F61" s="157" t="s">
        <v>399</v>
      </c>
      <c r="G61" s="533" t="s">
        <v>95</v>
      </c>
    </row>
    <row r="62" spans="2:9" ht="30" customHeight="1">
      <c r="B62" s="503"/>
      <c r="C62" s="503"/>
      <c r="D62" s="504"/>
      <c r="E62" s="503"/>
      <c r="F62" s="503"/>
      <c r="G62" s="536"/>
    </row>
    <row r="63" spans="2:9" ht="30" customHeight="1">
      <c r="B63" s="125" t="s">
        <v>257</v>
      </c>
      <c r="C63" s="123"/>
      <c r="D63" s="124" t="s">
        <v>361</v>
      </c>
      <c r="E63" s="124" t="s">
        <v>206</v>
      </c>
      <c r="F63" s="124" t="s">
        <v>363</v>
      </c>
      <c r="G63" s="530" t="s">
        <v>380</v>
      </c>
    </row>
    <row r="64" spans="2:9" ht="30" customHeight="1">
      <c r="B64" s="135" t="s">
        <v>168</v>
      </c>
      <c r="C64" s="46"/>
      <c r="D64" s="150">
        <v>1127</v>
      </c>
      <c r="E64" s="471">
        <f>D64*SEK</f>
        <v>1127</v>
      </c>
      <c r="F64" s="476">
        <f t="shared" ref="F64:F69" si="22">D64*EUR</f>
        <v>110.446</v>
      </c>
      <c r="G64" s="532" t="s">
        <v>95</v>
      </c>
    </row>
    <row r="65" spans="2:7" ht="30" customHeight="1">
      <c r="B65" s="86" t="s">
        <v>170</v>
      </c>
      <c r="C65" s="85"/>
      <c r="D65" s="150">
        <v>1374</v>
      </c>
      <c r="E65" s="132">
        <f t="shared" ref="E65:E69" si="23">D65*SEK</f>
        <v>1374</v>
      </c>
      <c r="F65" s="477">
        <f t="shared" si="22"/>
        <v>134.65200000000002</v>
      </c>
      <c r="G65" s="533" t="s">
        <v>95</v>
      </c>
    </row>
    <row r="66" spans="2:7" ht="30" customHeight="1">
      <c r="B66" s="135" t="s">
        <v>172</v>
      </c>
      <c r="C66" s="46"/>
      <c r="D66" s="150">
        <v>1277</v>
      </c>
      <c r="E66" s="131">
        <f t="shared" si="23"/>
        <v>1277</v>
      </c>
      <c r="F66" s="478">
        <f t="shared" si="22"/>
        <v>125.146</v>
      </c>
      <c r="G66" s="532" t="s">
        <v>95</v>
      </c>
    </row>
    <row r="67" spans="2:7" ht="30" customHeight="1">
      <c r="B67" s="86" t="s">
        <v>174</v>
      </c>
      <c r="C67" s="85"/>
      <c r="D67" s="150">
        <v>1374</v>
      </c>
      <c r="E67" s="132">
        <f t="shared" si="23"/>
        <v>1374</v>
      </c>
      <c r="F67" s="477">
        <f t="shared" si="22"/>
        <v>134.65200000000002</v>
      </c>
      <c r="G67" s="533" t="s">
        <v>95</v>
      </c>
    </row>
    <row r="68" spans="2:7" ht="30" customHeight="1">
      <c r="B68" s="135" t="s">
        <v>176</v>
      </c>
      <c r="C68" s="46"/>
      <c r="D68" s="150">
        <v>1139</v>
      </c>
      <c r="E68" s="131">
        <f t="shared" si="23"/>
        <v>1139</v>
      </c>
      <c r="F68" s="478">
        <f t="shared" si="22"/>
        <v>111.622</v>
      </c>
      <c r="G68" s="532" t="s">
        <v>95</v>
      </c>
    </row>
    <row r="69" spans="2:7" ht="30" customHeight="1">
      <c r="B69" s="86" t="s">
        <v>178</v>
      </c>
      <c r="C69" s="85"/>
      <c r="D69" s="150">
        <v>1374</v>
      </c>
      <c r="E69" s="132">
        <f t="shared" si="23"/>
        <v>1374</v>
      </c>
      <c r="F69" s="477">
        <f t="shared" si="22"/>
        <v>134.65200000000002</v>
      </c>
      <c r="G69" s="533" t="s">
        <v>95</v>
      </c>
    </row>
  </sheetData>
  <sheetProtection selectLockedCell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133</vt:i4>
      </vt:variant>
    </vt:vector>
  </HeadingPairs>
  <TitlesOfParts>
    <vt:vector size="138" baseType="lpstr">
      <vt:lpstr>SEK - Safesprings tjänster 2021</vt:lpstr>
      <vt:lpstr>EUR - Safespring services 2021</vt:lpstr>
      <vt:lpstr>NOK - Safesprings tjeneste 2021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'NOK - Safesprings tjeneste 2021'!Utskriftsområde</vt:lpstr>
      <vt:lpstr>'SEK - Safesprings tjänster 2021'!Utskriftsområde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2021-06-29T10:02:40Z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