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447FA4EB-3630-FC4A-A496-9E8EA2F87835}" xr6:coauthVersionLast="47" xr6:coauthVersionMax="47" xr10:uidLastSave="{00000000-0000-0000-0000-000000000000}"/>
  <workbookProtection workbookAlgorithmName="SHA-512" workbookHashValue="vSrztksL81GHL8ijel8KWKFq/RkQV4rQmphcWWOmwZFpBB5DIf8DSKi1TCyiRIQexJaAJYrVqyURuFwpSUUNgg==" workbookSaltValue="LI8+U/lai6vZ0E6VPigvYg==" workbookSpinCount="100000" lockStructure="1"/>
  <bookViews>
    <workbookView xWindow="0" yWindow="500" windowWidth="51200" windowHeight="28300" tabRatio="530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2023'!$C$47:$C$56</definedName>
    <definedName name="b2_list_Antal_instanser" localSheetId="3">'NOK - Safespring tjenester 2023'!$C$47:$C$56</definedName>
    <definedName name="b2_list_Antal_instanser">'SEK - Safesprings tjänster 2023'!$C$47:$C$56</definedName>
    <definedName name="b2_list_ram" localSheetId="1">'EUR - Safespring services 2023'!$D$47:$D$56</definedName>
    <definedName name="b2_list_ram" localSheetId="3">'NOK - Safespring tjenester 2023'!$D$47:$D$56</definedName>
    <definedName name="b2_list_ram">'SEK - Safesprings tjänster 2023'!$D$47:$D$56</definedName>
    <definedName name="b2_list_vCPU" localSheetId="1">'EUR - Safespring services 2023'!$I$47:$I$56</definedName>
    <definedName name="b2_list_vCPU" localSheetId="3">'NOK - Safespring tjenester 2023'!$I$47:$I$56</definedName>
    <definedName name="b2_list_vCPU">'SEK - Safesprings tjänster 2023'!$I$47:$I$56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2023'!$A$3:$L$243</definedName>
    <definedName name="_xlnm.Print_Area" localSheetId="3">'NOK - Safespring tjenester 2023'!$A$1:$L$244</definedName>
    <definedName name="_xlnm.Print_Area" localSheetId="4">'NOK - Safesprings tjeneste 2021'!$A$1:$N$305</definedName>
    <definedName name="_xlnm.Print_Area" localSheetId="0">'SEK - Safesprings tjänster 2023'!$A$1:$L$241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2" l="1"/>
  <c r="D57" i="12" a="1"/>
  <c r="D57" i="12" s="1"/>
  <c r="C57" i="12" a="1"/>
  <c r="C57" i="12" s="1"/>
  <c r="K40" i="12"/>
  <c r="I40" i="12"/>
  <c r="E40" i="12" a="1"/>
  <c r="E40" i="12" s="1"/>
  <c r="D40" i="12" a="1"/>
  <c r="D40" i="12" s="1"/>
  <c r="C40" i="12" a="1"/>
  <c r="C40" i="12" s="1"/>
  <c r="K57" i="3"/>
  <c r="I57" i="3"/>
  <c r="D57" i="3" a="1"/>
  <c r="D57" i="3" s="1"/>
  <c r="C57" i="3" a="1"/>
  <c r="C57" i="3" s="1"/>
  <c r="K40" i="3"/>
  <c r="I40" i="3"/>
  <c r="E40" i="3" a="1"/>
  <c r="E40" i="3" s="1"/>
  <c r="D40" i="3" a="1"/>
  <c r="D40" i="3" s="1"/>
  <c r="C40" i="3" a="1"/>
  <c r="C40" i="3" s="1"/>
  <c r="C40" i="11" a="1"/>
  <c r="C40" i="11" s="1"/>
  <c r="D40" i="11" a="1"/>
  <c r="D40" i="11" s="1"/>
  <c r="E40" i="11" a="1"/>
  <c r="E40" i="11" s="1"/>
  <c r="I40" i="11"/>
  <c r="G38" i="11"/>
  <c r="K38" i="11" s="1"/>
  <c r="G38" i="12"/>
  <c r="K38" i="12" s="1"/>
  <c r="G38" i="3"/>
  <c r="F38" i="3" s="1"/>
  <c r="B29" i="12"/>
  <c r="C29" i="12"/>
  <c r="D29" i="12"/>
  <c r="E29" i="12"/>
  <c r="G29" i="12" s="1"/>
  <c r="F29" i="12" s="1"/>
  <c r="B30" i="12"/>
  <c r="C30" i="12"/>
  <c r="D30" i="12"/>
  <c r="E30" i="12"/>
  <c r="B31" i="12"/>
  <c r="C31" i="12"/>
  <c r="D31" i="12"/>
  <c r="E31" i="12"/>
  <c r="B32" i="12"/>
  <c r="C32" i="12"/>
  <c r="G32" i="12" s="1"/>
  <c r="F32" i="12" s="1"/>
  <c r="D32" i="12"/>
  <c r="E32" i="12"/>
  <c r="B33" i="12"/>
  <c r="C33" i="12"/>
  <c r="D33" i="12"/>
  <c r="E33" i="12"/>
  <c r="B34" i="12"/>
  <c r="C34" i="12"/>
  <c r="D34" i="12"/>
  <c r="E34" i="12"/>
  <c r="B35" i="12"/>
  <c r="C35" i="12"/>
  <c r="G35" i="12" s="1"/>
  <c r="F35" i="12" s="1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G39" i="12" s="1"/>
  <c r="K39" i="12" s="1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G33" i="11" s="1"/>
  <c r="F33" i="11" s="1"/>
  <c r="D33" i="11"/>
  <c r="E33" i="11"/>
  <c r="B34" i="11"/>
  <c r="C34" i="11"/>
  <c r="G34" i="11" s="1"/>
  <c r="F34" i="11" s="1"/>
  <c r="D34" i="11"/>
  <c r="E34" i="11"/>
  <c r="B35" i="11"/>
  <c r="C35" i="11"/>
  <c r="D35" i="11"/>
  <c r="E35" i="11"/>
  <c r="B36" i="11"/>
  <c r="C36" i="11"/>
  <c r="D36" i="11"/>
  <c r="G36" i="11" s="1"/>
  <c r="F36" i="11" s="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G27" i="11"/>
  <c r="F27" i="11" s="1"/>
  <c r="K27" i="11"/>
  <c r="B28" i="11"/>
  <c r="C28" i="11"/>
  <c r="G28" i="11" s="1"/>
  <c r="F28" i="11" s="1"/>
  <c r="D28" i="11"/>
  <c r="E28" i="11"/>
  <c r="B27" i="12"/>
  <c r="C27" i="12"/>
  <c r="D27" i="12"/>
  <c r="E27" i="12"/>
  <c r="G27" i="12"/>
  <c r="F27" i="12" s="1"/>
  <c r="B28" i="12"/>
  <c r="C28" i="12"/>
  <c r="D28" i="12"/>
  <c r="E28" i="12"/>
  <c r="K172" i="3"/>
  <c r="K173" i="3"/>
  <c r="K175" i="3"/>
  <c r="K176" i="3"/>
  <c r="K175" i="11"/>
  <c r="K176" i="11"/>
  <c r="K178" i="11"/>
  <c r="K179" i="11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F38" i="11" l="1"/>
  <c r="F38" i="12"/>
  <c r="G31" i="11"/>
  <c r="G30" i="11"/>
  <c r="G29" i="11"/>
  <c r="G39" i="11"/>
  <c r="F39" i="11" s="1"/>
  <c r="G35" i="11"/>
  <c r="G32" i="11"/>
  <c r="K32" i="11" s="1"/>
  <c r="G30" i="12"/>
  <c r="F30" i="12" s="1"/>
  <c r="G37" i="11"/>
  <c r="K38" i="3"/>
  <c r="G31" i="12"/>
  <c r="F31" i="12" s="1"/>
  <c r="G34" i="12"/>
  <c r="F34" i="12" s="1"/>
  <c r="K32" i="12"/>
  <c r="G37" i="12"/>
  <c r="F37" i="12" s="1"/>
  <c r="K28" i="11"/>
  <c r="F30" i="11"/>
  <c r="K30" i="11"/>
  <c r="F35" i="11"/>
  <c r="K35" i="11"/>
  <c r="F29" i="11"/>
  <c r="K29" i="11"/>
  <c r="F31" i="11"/>
  <c r="K31" i="11"/>
  <c r="F37" i="11"/>
  <c r="K37" i="11"/>
  <c r="K34" i="11"/>
  <c r="K33" i="11"/>
  <c r="K36" i="11"/>
  <c r="K40" i="11" s="1"/>
  <c r="G28" i="12"/>
  <c r="F28" i="12" s="1"/>
  <c r="G33" i="12"/>
  <c r="F33" i="12" s="1"/>
  <c r="G36" i="12"/>
  <c r="F36" i="12" s="1"/>
  <c r="K35" i="12"/>
  <c r="K27" i="12"/>
  <c r="K28" i="12"/>
  <c r="K30" i="12"/>
  <c r="F39" i="12"/>
  <c r="K29" i="12"/>
  <c r="G39" i="3"/>
  <c r="K39" i="3" s="1"/>
  <c r="G52" i="12"/>
  <c r="K52" i="12" s="1"/>
  <c r="G51" i="12"/>
  <c r="K51" i="12" s="1"/>
  <c r="G56" i="11"/>
  <c r="K56" i="11" s="1"/>
  <c r="G55" i="11"/>
  <c r="K55" i="11" s="1"/>
  <c r="G56" i="3"/>
  <c r="K56" i="3" s="1"/>
  <c r="G55" i="3"/>
  <c r="F55" i="3" s="1"/>
  <c r="G37" i="3"/>
  <c r="K37" i="3" s="1"/>
  <c r="K164" i="11"/>
  <c r="K165" i="11"/>
  <c r="K162" i="3"/>
  <c r="K163" i="3"/>
  <c r="K31" i="12" l="1"/>
  <c r="F32" i="11"/>
  <c r="K39" i="11"/>
  <c r="K33" i="12"/>
  <c r="K37" i="12"/>
  <c r="K36" i="12"/>
  <c r="K34" i="12"/>
  <c r="F39" i="3"/>
  <c r="F51" i="12"/>
  <c r="F52" i="12"/>
  <c r="F55" i="11"/>
  <c r="F56" i="11"/>
  <c r="K55" i="3"/>
  <c r="F56" i="3"/>
  <c r="F37" i="3"/>
  <c r="C232" i="12" a="1"/>
  <c r="C232" i="12" s="1"/>
  <c r="K134" i="12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K174" i="11"/>
  <c r="K151" i="11"/>
  <c r="I57" i="11"/>
  <c r="C57" i="11" a="1"/>
  <c r="C57" i="11" s="1"/>
  <c r="D57" i="11" a="1"/>
  <c r="D57" i="11" s="1"/>
  <c r="C231" i="11" a="1"/>
  <c r="C231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C229" i="3" a="1"/>
  <c r="C229" i="3" s="1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G95" i="3" s="1"/>
  <c r="K95" i="3" s="1"/>
  <c r="F35" i="4"/>
  <c r="E36" i="4"/>
  <c r="D103" i="3" s="1"/>
  <c r="F36" i="4"/>
  <c r="D105" i="8" s="1"/>
  <c r="E37" i="4"/>
  <c r="D104" i="11" s="1"/>
  <c r="F37" i="4"/>
  <c r="D106" i="8" s="1"/>
  <c r="E38" i="4"/>
  <c r="D105" i="11" s="1"/>
  <c r="E101" i="11" s="1" a="1"/>
  <c r="E101" i="11" s="1"/>
  <c r="K101" i="11" s="1" a="1"/>
  <c r="K101" i="11" s="1"/>
  <c r="K107" i="11" s="1"/>
  <c r="F38" i="4"/>
  <c r="D107" i="8" s="1"/>
  <c r="E39" i="4"/>
  <c r="G34" i="4" s="1"/>
  <c r="G39" i="4"/>
  <c r="F31" i="4"/>
  <c r="E31" i="4"/>
  <c r="F30" i="4"/>
  <c r="G96" i="11" s="1"/>
  <c r="E30" i="4"/>
  <c r="G96" i="3" s="1"/>
  <c r="K96" i="3" s="1"/>
  <c r="D114" i="8" l="1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K96" i="1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K97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3" i="12" l="1"/>
  <c r="K97" i="11"/>
  <c r="J232" i="11" s="1"/>
  <c r="C232" i="11"/>
  <c r="L174" i="8"/>
  <c r="K173" i="11"/>
  <c r="G134" i="11"/>
  <c r="L173" i="8"/>
  <c r="G133" i="11"/>
  <c r="K133" i="11" s="1"/>
  <c r="K135" i="11" s="1"/>
  <c r="K172" i="11"/>
  <c r="K97" i="12"/>
  <c r="J233" i="12" s="1"/>
  <c r="K171" i="3"/>
  <c r="K170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4" i="11" l="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48" i="12" l="1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2" l="1"/>
  <c r="K57" i="12"/>
  <c r="K57" i="11"/>
  <c r="K66" i="11"/>
  <c r="K67" i="10"/>
  <c r="L76" i="10"/>
  <c r="K38" i="10"/>
  <c r="H133" i="8"/>
  <c r="J84" i="8"/>
  <c r="I84" i="8"/>
  <c r="J76" i="8"/>
  <c r="I76" i="8"/>
  <c r="I75" i="3"/>
  <c r="F71" i="4"/>
  <c r="F72" i="4"/>
  <c r="F73" i="4"/>
  <c r="F74" i="4"/>
  <c r="F75" i="4"/>
  <c r="F70" i="4"/>
  <c r="F45" i="4"/>
  <c r="K150" i="11" s="1"/>
  <c r="F42" i="4"/>
  <c r="K147" i="11" s="1"/>
  <c r="L167" i="8"/>
  <c r="E70" i="4"/>
  <c r="K201" i="12" s="1"/>
  <c r="E75" i="4"/>
  <c r="K206" i="12" s="1"/>
  <c r="E74" i="4"/>
  <c r="K205" i="12" s="1"/>
  <c r="E73" i="4"/>
  <c r="K204" i="12" s="1"/>
  <c r="E72" i="4"/>
  <c r="K203" i="12" s="1"/>
  <c r="E71" i="4"/>
  <c r="K202" i="12" s="1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20" i="12" s="1"/>
  <c r="D131" i="8" l="1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9" i="12" s="1"/>
  <c r="F23" i="4"/>
  <c r="E23" i="4"/>
  <c r="G118" i="12" s="1"/>
  <c r="K118" i="12" s="1"/>
  <c r="K121" i="12" s="1"/>
  <c r="J234" i="12" s="1"/>
  <c r="F49" i="4"/>
  <c r="L157" i="8" s="1"/>
  <c r="E49" i="4"/>
  <c r="M151" i="10" s="1"/>
  <c r="F47" i="4"/>
  <c r="E47" i="4"/>
  <c r="K153" i="12" s="1"/>
  <c r="L155" i="8"/>
  <c r="L154" i="8"/>
  <c r="E45" i="4"/>
  <c r="K151" i="12" s="1"/>
  <c r="F44" i="4"/>
  <c r="E44" i="4"/>
  <c r="K150" i="12" s="1"/>
  <c r="F43" i="4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G118" i="11"/>
  <c r="K118" i="11" s="1"/>
  <c r="K121" i="11" s="1"/>
  <c r="J233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2" i="11" l="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2" i="12" s="1"/>
  <c r="E19" i="4"/>
  <c r="E52" i="4"/>
  <c r="F52" i="4"/>
  <c r="K162" i="11" s="1"/>
  <c r="E53" i="4"/>
  <c r="F53" i="4"/>
  <c r="K163" i="11" s="1"/>
  <c r="K164" i="12" l="1"/>
  <c r="K161" i="3"/>
  <c r="K163" i="12"/>
  <c r="K160" i="3"/>
  <c r="K72" i="11"/>
  <c r="K75" i="11" s="1"/>
  <c r="F74" i="11"/>
  <c r="F89" i="8"/>
  <c r="G81" i="11"/>
  <c r="G83" i="11"/>
  <c r="K161" i="11"/>
  <c r="K160" i="11"/>
  <c r="G83" i="12"/>
  <c r="G81" i="12"/>
  <c r="K161" i="12"/>
  <c r="K162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L84" i="10" l="1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2" i="12" s="1"/>
  <c r="J235" i="12" s="1"/>
  <c r="K84" i="11"/>
  <c r="J231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<sst xmlns="http://schemas.openxmlformats.org/spreadsheetml/2006/main" count="2109" uniqueCount="673">
  <si>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</si>
  <si>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</si>
  <si>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</si>
  <si>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</si>
  <si>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</si>
  <si>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</si>
  <si>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</si>
  <si>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</si>
  <si>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</si>
  <si>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</si>
  <si>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</si>
  <si>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</si>
  <si>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</si>
  <si>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</si>
  <si>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</si>
  <si>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</si>
  <si>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</si>
  <si>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</si>
  <si>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</si>
  <si>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</si>
  <si>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</si>
  <si>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</si>
  <si>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</si>
  <si>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</si>
  <si>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</si>
  <si>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</si>
  <si>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</si>
  <si>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</si>
  <si>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</si>
  <si>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</si>
  <si>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</si>
  <si>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</si>
  <si>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</si>
  <si>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</si>
  <si>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</si>
  <si>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</si>
  <si>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</si>
  <si>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</si>
  <si>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</si>
  <si>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</si>
  <si>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</si>
  <si>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</si>
  <si>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</si>
  <si>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</si>
  <si>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</si>
  <si>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</si>
  <si>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</si>
  <si>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</si>
  <si>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</si>
  <si>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</si>
  <si>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</si>
  <si>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</si>
  <si>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</si>
  <si>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</si>
  <si>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</si>
  <si>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</si>
  <si>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</si>
  <si>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</si>
  <si>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</si>
  <si>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</si>
  <si>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</si>
  <si>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</si>
  <si>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</si>
  <si>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</si>
  <si>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</si>
  <si>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</si>
  <si>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</si>
  <si>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</si>
  <si>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</si>
  <si>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</si>
  <si>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</si>
  <si>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</si>
  <si>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</si>
  <si>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</si>
  <si>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</si>
  <si>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</si>
  <si>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</si>
  <si>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</si>
  <si>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</si>
  <si>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</si>
  <si>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</si>
  <si>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</si>
  <si>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</si>
  <si>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</si>
  <si>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</si>
  <si>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</si>
  <si>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</si>
  <si>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</si>
  <si>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</si>
  <si>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</si>
  <si>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</si>
  <si>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</si>
  <si>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</si>
  <si>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</si>
  <si>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</si>
  <si>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</si>
  <si>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</si>
  <si>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</si>
  <si>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</si>
  <si>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</si>
  <si>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</si>
  <si>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</si>
  <si>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</si>
  <si>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</si>
  <si>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</si>
  <si>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</si>
  <si>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</si>
  <si>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</si>
  <si>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</si>
  <si>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</si>
  <si>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</si>
  <si>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</si>
  <si>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</si>
  <si>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</si>
  <si>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</si>
  <si>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</si>
  <si>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</si>
  <si>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</si>
  <si>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</si>
  <si>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</si>
  <si>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</si>
  <si>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</si>
  <si>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</si>
  <si>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</si>
  <si>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</si>
  <si>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</si>
  <si>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</si>
  <si>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</si>
  <si>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</si>
  <si>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</si>
  <si>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</si>
  <si>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</si>
  <si>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</si>
  <si>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</si>
  <si>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</si>
  <si>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</si>
  <si>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</si>
  <si>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</si>
  <si>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</si>
  <si>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</si>
  <si>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</si>
  <si>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</si>
  <si>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</si>
  <si>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</si>
  <si>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</si>
  <si>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</si>
  <si>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</si>
  <si>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</si>
  <si>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</si>
  <si>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</si>
  <si>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</si>
  <si>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</si>
  <si>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</si>
  <si>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</si>
  <si>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</si>
  <si>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</si>
  <si>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</si>
  <si>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</si>
  <si>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</si>
  <si>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</si>
  <si>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</si>
  <si>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</si>
  <si>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</si>
  <si>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</si>
  <si>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</si>
  <si>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</si>
  <si>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</si>
  <si>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</si>
  <si>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</si>
  <si>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</si>
  <si>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</si>
  <si>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</si>
  <si>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</si>
  <si>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</si>
  <si>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</si>
  <si>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</si>
  <si>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</si>
  <si>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</si>
  <si>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</si>
  <si>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</si>
  <si>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</si>
  <si>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</si>
  <si>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</si>
  <si>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</si>
  <si>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</si>
  <si>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</si>
  <si>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</si>
  <si>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</si>
  <si>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</si>
  <si>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</si>
  <si>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</si>
  <si>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</si>
  <si>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</si>
  <si>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</si>
  <si>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</si>
  <si>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</si>
  <si>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</si>
  <si>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</si>
  <si>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</si>
  <si>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</si>
  <si>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</si>
  <si>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</si>
  <si>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</si>
  <si>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</si>
  <si>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</si>
  <si>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</si>
  <si>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</si>
  <si>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</si>
  <si>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</si>
  <si>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</si>
  <si>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</si>
  <si>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</si>
  <si>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</si>
  <si>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</si>
  <si>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</si>
  <si>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</si>
  <si>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</si>
  <si>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</si>
  <si>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</si>
  <si>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</si>
  <si>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</si>
  <si>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</si>
  <si>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</si>
  <si>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</si>
  <si>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</si>
  <si>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</si>
  <si>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</si>
  <si>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</si>
  <si>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</si>
  <si>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</si>
  <si>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</si>
  <si>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</si>
  <si>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</si>
  <si>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</si>
  <si>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</si>
  <si>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</si>
  <si>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</si>
  <si>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</si>
  <si>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</si>
  <si>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</si>
  <si>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</si>
  <si>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</si>
  <si>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</si>
  <si>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</si>
  <si>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</si>
  <si>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</si>
  <si>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</si>
  <si>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</si>
  <si>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</si>
  <si>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</si>
  <si>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</si>
  <si>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</si>
  <si>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</si>
  <si>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</si>
  <si>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</si>
  <si>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</si>
  <si>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</si>
  <si>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</si>
  <si>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</si>
  <si>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</si>
  <si>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</si>
  <si>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</si>
  <si>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</si>
  <si>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</si>
  <si>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</si>
  <si>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</si>
  <si>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</si>
  <si>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</si>
  <si>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</si>
  <si>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</si>
  <si>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</si>
  <si>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</si>
  <si>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</si>
  <si>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</si>
  <si>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</si>
  <si>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</si>
  <si>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</si>
  <si>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</si>
  <si>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</si>
  <si>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</si>
  <si>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</si>
  <si>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</si>
  <si>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</si>
  <si>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</si>
  <si>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</si>
  <si>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</si>
  <si>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</si>
  <si>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</si>
  <si>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</si>
  <si>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</si>
  <si>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</si>
  <si>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</si>
  <si>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</si>
  <si>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</si>
  <si>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</si>
  <si>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</si>
  <si>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</si>
  <si>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</si>
  <si>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</si>
  <si>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</si>
  <si>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</si>
  <si>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</si>
  <si>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</si>
  <si>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</si>
  <si>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</si>
  <si>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</si>
  <si>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</si>
  <si>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</si>
  <si>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</si>
  <si>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</si>
  <si>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</si>
  <si>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</si>
  <si>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</si>
  <si>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</si>
  <si>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</si>
  <si>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</si>
  <si>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</si>
  <si>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</si>
  <si>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</si>
  <si>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</si>
  <si>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</si>
  <si>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</si>
  <si>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</si>
  <si>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</si>
  <si>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</si>
  <si>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</si>
  <si>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</si>
  <si>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</si>
  <si>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</si>
  <si>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</si>
  <si>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</si>
  <si>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</si>
  <si>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</si>
  <si>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</si>
  <si>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</si>
  <si>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</si>
  <si>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</si>
  <si>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</si>
  <si>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</si>
  <si>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</si>
  <si>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</si>
  <si>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</si>
  <si>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</si>
  <si>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</si>
  <si>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</si>
  <si>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</si>
  <si>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</si>
  <si>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</si>
  <si>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</si>
  <si>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</si>
  <si>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</si>
  <si>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</si>
  <si>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</si>
  <si>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</si>
  <si>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</si>
  <si>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</si>
  <si>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</si>
  <si>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</si>
  <si>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</si>
  <si>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</si>
  <si>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</si>
  <si>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</si>
  <si>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</si>
  <si>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</si>
  <si>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</si>
  <si>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</si>
  <si>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</si>
  <si>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</si>
  <si>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</si>
  <si>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</si>
  <si>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</si>
  <si>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</si>
  <si>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</si>
  <si>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</si>
  <si>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</si>
  <si>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</si>
  <si>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</si>
  <si>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</si>
  <si>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</si>
  <si>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</si>
  <si>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</si>
  <si>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</si>
  <si>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</si>
  <si>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</si>
  <si>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</si>
  <si>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</si>
  <si>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</si>
  <si>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</si>
  <si>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</si>
  <si>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</si>
  <si>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</si>
  <si>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</si>
  <si>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</si>
  <si>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</si>
  <si>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</si>
  <si>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</si>
  <si>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</si>
  <si>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</si>
  <si>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</si>
  <si>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</si>
  <si>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</si>
  <si>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</si>
  <si>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</si>
  <si>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</si>
  <si>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</si>
  <si>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</si>
  <si>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</si>
  <si>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</si>
  <si>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</si>
  <si>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</si>
  <si>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</si>
  <si>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</si>
  <si>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</si>
  <si>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</si>
  <si>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</si>
  <si>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</si>
  <si>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</si>
  <si>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</si>
  <si>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</si>
  <si>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</si>
  <si>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</si>
  <si>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</si>
  <si>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</si>
  <si>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</si>
  <si>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</si>
  <si>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</si>
  <si>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</si>
  <si>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</si>
  <si>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</si>
  <si>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</si>
  <si>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</si>
  <si>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</si>
  <si>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</si>
  <si>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</si>
  <si>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</si>
  <si>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</si>
  <si>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</si>
  <si>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</si>
  <si>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</si>
  <si>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</si>
  <si>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</si>
  <si>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</si>
  <si>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</si>
  <si>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</si>
  <si>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</si>
  <si>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</si>
  <si>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</si>
  <si>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</si>
  <si>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</si>
  <si>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</si>
  <si>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</si>
  <si>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</si>
  <si>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</si>
  <si>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</si>
  <si>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</si>
  <si>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</si>
  <si>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</si>
  <si>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</si>
  <si>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</si>
  <si>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</si>
  <si>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</si>
  <si>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</si>
  <si>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</si>
  <si>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</si>
  <si>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</si>
  <si>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</si>
  <si>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</si>
  <si>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</si>
  <si>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</si>
  <si>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</si>
  <si>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</si>
  <si>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</si>
  <si>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</si>
  <si>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</si>
  <si>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</si>
  <si>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</si>
  <si>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</si>
  <si>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</si>
  <si>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</si>
  <si>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</si>
  <si>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</si>
  <si>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</si>
  <si>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</si>
  <si>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</si>
  <si>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</si>
  <si>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</si>
  <si>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</si>
  <si>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</si>
  <si>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</si>
  <si>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</si>
  <si>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</si>
  <si>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</si>
  <si>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</si>
  <si>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</si>
  <si>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</si>
  <si>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</si>
  <si>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</si>
  <si>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</si>
  <si>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</si>
  <si>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</si>
  <si>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</si>
  <si>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</si>
  <si>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</si>
  <si>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</si>
  <si>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</si>
  <si>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</si>
  <si>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</si>
  <si>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</si>
  <si>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</si>
  <si>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</si>
  <si>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</si>
  <si>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</si>
  <si>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</si>
  <si>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</si>
  <si>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</si>
  <si>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</si>
  <si>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</si>
  <si>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</si>
  <si>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</si>
  <si>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</si>
  <si>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</si>
  <si>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</si>
  <si>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</si>
  <si>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</si>
  <si>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</si>
  <si>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</si>
  <si>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</si>
  <si>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</si>
  <si>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</si>
  <si>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</si>
  <si>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</si>
  <si>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</si>
  <si>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</si>
  <si>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</si>
  <si>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</si>
  <si>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</si>
  <si>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</si>
  <si>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</si>
  <si>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</si>
  <si>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</si>
  <si>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</si>
  <si>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</si>
  <si>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</si>
  <si>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</si>
  <si>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</si>
  <si>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</si>
  <si>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</si>
  <si>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</si>
  <si>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</si>
  <si>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</si>
  <si>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</si>
  <si>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</si>
  <si>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</si>
  <si>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</si>
  <si>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</si>
  <si>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</si>
  <si>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</si>
  <si>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</si>
  <si>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</si>
  <si>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</si>
  <si>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</si>
  <si>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</si>
  <si>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</si>
  <si>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</si>
  <si>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</si>
  <si>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</si>
  <si>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</si>
  <si>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</si>
  <si>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</si>
  <si>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</si>
  <si>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</si>
  <si>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</si>
  <si>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</si>
  <si>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</si>
  <si>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</si>
  <si>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</si>
  <si>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</si>
  <si>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</si>
  <si>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</si>
  <si>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</si>
  <si>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</si>
  <si>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</si>
  <si>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</si>
  <si>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</si>
  <si>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</si>
  <si>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</si>
  <si>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</si>
  <si>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</si>
  <si>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</si>
  <si>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</si>
  <si>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</si>
  <si>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</si>
  <si>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</si>
  <si>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</si>
  <si>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</si>
  <si>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</si>
  <si>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</si>
  <si>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</si>
  <si>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</si>
  <si>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</si>
  <si>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</si>
  <si>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</si>
  <si>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</si>
  <si>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</si>
  <si>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</si>
  <si>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</si>
  <si>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</si>
  <si>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</si>
  <si>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</si>
  <si>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</si>
  <si>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</si>
  <si>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</si>
  <si>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</si>
  <si>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</si>
  <si>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</si>
  <si>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</si>
  <si>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</si>
  <si>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</si>
  <si>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</si>
  <si>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</si>
  <si>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</si>
  <si>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</si>
  <si>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</si>
  <si>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</si>
  <si>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</si>
  <si>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</si>
  <si>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</si>
  <si>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</si>
  <si>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</si>
  <si>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</si>
  <si>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</si>
  <si>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</si>
  <si>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</si>
  <si>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</si>
  <si>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</si>
  <si>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</si>
  <si>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</si>
  <si>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</si>
  <si>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</si>
  <si>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</si>
  <si>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</si>
  <si>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</si>
  <si>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</si>
  <si>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</si>
  <si>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</si>
  <si>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</si>
  <si>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</si>
  <si>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</si>
  <si>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</si>
  <si>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</si>
  <si>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</si>
  <si>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</si>
  <si>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</si>
  <si>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</si>
  <si>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</si>
  <si>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</si>
  <si>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</si>
  <si>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</si>
  <si>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</si>
  <si>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</si>
  <si>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</si>
  <si>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</si>
  <si>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</si>
  <si>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</si>
  <si>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</si>
  <si>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</si>
  <si>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</si>
  <si>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</si>
  <si>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</rPr>
      <t>PAAS</t>
    </r>
    <r>
      <rPr>
        <sz val="11"/>
        <color theme="1"/>
        <rFont val="Montserrat Medium"/>
      </rPr>
      <t>-jupyter.notebook</t>
    </r>
  </si>
  <si>
    <t>FLAVOR-l2. c16 r64. 500</t>
  </si>
  <si>
    <t>Priskalkylator 2023-12-01</t>
  </si>
  <si>
    <t>Price calculator 2023-12-01</t>
  </si>
  <si>
    <t>Priskalkulator 12.01.2023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</si>
</sst>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7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4" borderId="0" xfId="0" applyNumberFormat="1" applyFont="1" applyFill="1" applyAlignment="1" applyProtection="1">
      <alignment horizontal="center" vertical="center" readingOrder="1"/>
      <protection hidden="1"/>
    </xf>
    <xf numFmtId="184" fontId="6" fillId="0" borderId="0" xfId="0" applyNumberFormat="1" applyFont="1" applyAlignment="1" applyProtection="1">
      <alignment horizontal="center" vertical="center" readingOrder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abSelected="1" topLeftCell="A9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670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608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400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3" t="s">
        <v>663</v>
      </c>
      <c r="C24" s="983"/>
      <c r="D24" s="983"/>
      <c r="E24" s="98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635</v>
      </c>
      <c r="E25" s="131" t="s">
        <v>634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638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639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669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648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662</v>
      </c>
      <c r="C44" s="650"/>
      <c r="D44" s="650"/>
      <c r="K44" s="842"/>
      <c r="M44" s="664"/>
    </row>
    <row r="45" spans="2:19" ht="25" customHeight="1">
      <c r="B45" s="983" t="s">
        <v>663</v>
      </c>
      <c r="C45" s="983"/>
      <c r="D45" s="983"/>
      <c r="E45" s="983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440</v>
      </c>
      <c r="F46" s="12" t="s">
        <v>210</v>
      </c>
      <c r="G46" s="131" t="s">
        <v>429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649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650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651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652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3"/>
    </row>
    <row r="51" spans="1:20" s="675" customFormat="1" ht="25" customHeight="1">
      <c r="B51" s="445" t="s">
        <v>653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654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655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656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657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658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4" t="s">
        <v>603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603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443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507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429</v>
      </c>
      <c r="H80" s="24"/>
      <c r="I80" s="728" t="s">
        <v>66</v>
      </c>
      <c r="J80" s="24"/>
      <c r="K80" s="612" t="s">
        <v>496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7" t="s">
        <v>609</v>
      </c>
      <c r="C87" s="977"/>
      <c r="D87" s="977"/>
      <c r="E87" s="977"/>
      <c r="F87" s="977"/>
      <c r="G87" s="977"/>
      <c r="H87" s="977"/>
      <c r="I87" s="977"/>
      <c r="J87" s="977"/>
      <c r="K87" s="977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M88" s="664"/>
    </row>
    <row r="89" spans="2:20" s="4" customFormat="1" ht="25" customHeight="1"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M89" s="664"/>
    </row>
    <row r="90" spans="2:20" s="4" customFormat="1" ht="25" customHeight="1">
      <c r="B90" s="549" t="s">
        <v>508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624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401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501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497</v>
      </c>
      <c r="C95" s="912" t="s">
        <v>606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 t="s">
        <v>607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7" t="s">
        <v>616</v>
      </c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833"/>
      <c r="L112" s="674"/>
      <c r="M112" s="664"/>
    </row>
    <row r="113" spans="2:32" s="4" customFormat="1" ht="25" customHeight="1">
      <c r="B113" s="549" t="s">
        <v>498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412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441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572</v>
      </c>
      <c r="H117" s="24"/>
      <c r="I117" s="728" t="s">
        <v>90</v>
      </c>
      <c r="J117" s="728" t="s">
        <v>448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610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611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8" t="s">
        <v>437</v>
      </c>
      <c r="D132" s="988"/>
      <c r="E132" s="988" t="s">
        <v>438</v>
      </c>
      <c r="F132" s="988"/>
      <c r="G132" s="988" t="s">
        <v>228</v>
      </c>
      <c r="H132" s="988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436</v>
      </c>
      <c r="F133" s="995"/>
      <c r="G133" s="989">
        <v>15000</v>
      </c>
      <c r="H133" s="990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4" t="s">
        <v>435</v>
      </c>
      <c r="D134" s="994"/>
      <c r="E134" s="996" t="s">
        <v>439</v>
      </c>
      <c r="F134" s="996"/>
      <c r="G134" s="991">
        <v>24000</v>
      </c>
      <c r="H134" s="992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234</v>
      </c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833"/>
      <c r="M141" s="664"/>
    </row>
    <row r="142" spans="2:32" s="4" customFormat="1" ht="25" customHeight="1">
      <c r="B142" s="465" t="s">
        <v>412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381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505</v>
      </c>
      <c r="M145" s="664"/>
    </row>
    <row r="146" spans="2:18" ht="25" customHeight="1">
      <c r="B146" s="470" t="s">
        <v>208</v>
      </c>
      <c r="C146" s="23" t="s">
        <v>235</v>
      </c>
      <c r="D146" s="23"/>
      <c r="E146" s="24" t="s">
        <v>220</v>
      </c>
      <c r="F146" s="24"/>
      <c r="G146" s="24"/>
      <c r="H146" s="24"/>
      <c r="I146" s="24"/>
      <c r="J146" s="23" t="s">
        <v>236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237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237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238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238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403</v>
      </c>
      <c r="F151" s="37"/>
      <c r="G151" s="37"/>
      <c r="H151" s="37"/>
      <c r="I151" s="37"/>
      <c r="J151" s="770" t="s">
        <v>239</v>
      </c>
      <c r="K151" s="555" t="str">
        <f>NET_mgn.slb_SEK</f>
        <v>Begär offert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240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449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236</v>
      </c>
      <c r="K159" s="612" t="s">
        <v>211</v>
      </c>
      <c r="M159" s="664"/>
      <c r="N159" s="742"/>
      <c r="O159" s="8"/>
    </row>
    <row r="160" spans="2:18" ht="25" customHeight="1">
      <c r="B160" s="134" t="s">
        <v>614</v>
      </c>
      <c r="C160" s="129"/>
      <c r="D160" s="30"/>
      <c r="E160" s="30" t="s">
        <v>615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477</v>
      </c>
      <c r="C161" s="130"/>
      <c r="D161" s="38"/>
      <c r="E161" s="38" t="s">
        <v>409</v>
      </c>
      <c r="F161" s="771"/>
      <c r="G161" s="771"/>
      <c r="H161" s="771"/>
      <c r="I161" s="771"/>
      <c r="J161" s="773" t="s">
        <v>10</v>
      </c>
      <c r="K161" s="829">
        <f>SW_ms.sql.ser_SEK</f>
        <v>1498</v>
      </c>
      <c r="M161" s="664"/>
      <c r="N161" s="742"/>
      <c r="O161" s="8"/>
    </row>
    <row r="162" spans="2:18" ht="25" customHeight="1">
      <c r="B162" s="134" t="s">
        <v>478</v>
      </c>
      <c r="C162" s="129"/>
      <c r="D162" s="30"/>
      <c r="E162" s="30" t="s">
        <v>131</v>
      </c>
      <c r="F162" s="30"/>
      <c r="G162" s="30"/>
      <c r="H162" s="30"/>
      <c r="I162" s="30"/>
      <c r="J162" s="770" t="s">
        <v>94</v>
      </c>
      <c r="K162" s="828" t="str">
        <f>SW_nextcloud_SEK</f>
        <v>Begär offert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479</v>
      </c>
      <c r="C163" s="130"/>
      <c r="D163" s="38"/>
      <c r="E163" s="38" t="s">
        <v>133</v>
      </c>
      <c r="F163" s="771"/>
      <c r="G163" s="771"/>
      <c r="H163" s="771"/>
      <c r="I163" s="771"/>
      <c r="J163" s="773" t="s">
        <v>94</v>
      </c>
      <c r="K163" s="829" t="str">
        <f>SW_suse_SEK</f>
        <v>Begär offert</v>
      </c>
      <c r="M163" s="664"/>
      <c r="N163" s="742"/>
      <c r="O163" s="8"/>
    </row>
    <row r="164" spans="2:18" ht="25" customHeight="1">
      <c r="B164" s="106"/>
      <c r="C164" s="103"/>
      <c r="D164" s="104"/>
      <c r="E164" s="105"/>
      <c r="F164" s="777"/>
      <c r="G164" s="777"/>
      <c r="H164" s="777"/>
      <c r="I164" s="777"/>
      <c r="J164" s="778"/>
      <c r="K164" s="857"/>
      <c r="M164" s="664"/>
      <c r="N164" s="742"/>
      <c r="O164" s="8"/>
    </row>
    <row r="165" spans="2:18" ht="25" customHeight="1">
      <c r="B165" s="137"/>
      <c r="C165" s="130"/>
      <c r="D165" s="41"/>
      <c r="E165" s="31"/>
      <c r="F165" s="771"/>
      <c r="G165" s="771"/>
      <c r="H165" s="771"/>
      <c r="I165" s="771"/>
      <c r="J165" s="779"/>
      <c r="K165" s="554"/>
      <c r="M165" s="664"/>
      <c r="N165" s="742"/>
      <c r="O165" s="8"/>
    </row>
    <row r="166" spans="2:18" ht="25" customHeight="1">
      <c r="M166" s="664"/>
      <c r="N166" s="742"/>
      <c r="O166" s="8"/>
    </row>
    <row r="167" spans="2:18" ht="25" customHeight="1">
      <c r="B167" s="649" t="s">
        <v>241</v>
      </c>
      <c r="C167" s="13"/>
      <c r="D167" s="13"/>
      <c r="F167" s="13"/>
      <c r="G167" s="13"/>
      <c r="H167" s="13"/>
      <c r="I167" s="13"/>
      <c r="J167" s="13"/>
      <c r="M167" s="664"/>
      <c r="N167" s="742"/>
      <c r="O167" s="8"/>
    </row>
    <row r="168" spans="2:18" ht="25" customHeight="1">
      <c r="B168" s="628" t="s">
        <v>450</v>
      </c>
      <c r="M168" s="664"/>
    </row>
    <row r="169" spans="2:18" ht="25" customHeight="1">
      <c r="B169" s="470" t="s">
        <v>208</v>
      </c>
      <c r="C169" s="23"/>
      <c r="D169" s="23"/>
      <c r="E169" s="23" t="s">
        <v>220</v>
      </c>
      <c r="F169" s="24"/>
      <c r="G169" s="24"/>
      <c r="H169" s="24"/>
      <c r="I169" s="24"/>
      <c r="J169" s="131"/>
      <c r="K169" s="612" t="s">
        <v>211</v>
      </c>
      <c r="M169" s="664"/>
      <c r="N169" s="742"/>
      <c r="O169" s="8"/>
    </row>
    <row r="170" spans="2:18" ht="25" customHeight="1">
      <c r="B170" s="134" t="s">
        <v>467</v>
      </c>
      <c r="C170" s="129"/>
      <c r="D170" s="30"/>
      <c r="E170" s="30" t="s">
        <v>406</v>
      </c>
      <c r="F170" s="30"/>
      <c r="G170" s="30"/>
      <c r="H170" s="30"/>
      <c r="I170" s="30"/>
      <c r="J170" s="40"/>
      <c r="K170" s="868" t="str">
        <f>PAAS_man.kubernetes_SEK</f>
        <v>Begär offert</v>
      </c>
      <c r="M170" s="664"/>
      <c r="N170" s="742"/>
      <c r="O170" s="8"/>
    </row>
    <row r="171" spans="2:18" ht="25" customHeight="1">
      <c r="B171" s="137" t="s">
        <v>480</v>
      </c>
      <c r="C171" s="130"/>
      <c r="D171" s="38"/>
      <c r="E171" s="38" t="s">
        <v>407</v>
      </c>
      <c r="F171" s="771"/>
      <c r="G171" s="771"/>
      <c r="H171" s="771"/>
      <c r="I171" s="771"/>
      <c r="J171" s="779"/>
      <c r="K171" s="867" t="str">
        <f>PAAS_man.postgres.sql_SEK</f>
        <v>Begär offert</v>
      </c>
      <c r="M171" s="664"/>
      <c r="N171" s="742"/>
      <c r="O171" s="8"/>
    </row>
    <row r="172" spans="2:18" ht="25" customHeight="1">
      <c r="B172" s="134" t="s">
        <v>481</v>
      </c>
      <c r="C172" s="129"/>
      <c r="D172" s="30"/>
      <c r="E172" s="30" t="s">
        <v>408</v>
      </c>
      <c r="F172" s="30"/>
      <c r="G172" s="30"/>
      <c r="H172" s="30"/>
      <c r="I172" s="30"/>
      <c r="J172" s="40"/>
      <c r="K172" s="629" t="str">
        <f>PAAS_man.elasticsearch_SEK</f>
        <v>Begär offert</v>
      </c>
      <c r="M172" s="664"/>
      <c r="N172" s="742"/>
      <c r="O172" s="8"/>
    </row>
    <row r="173" spans="2:18" ht="25" customHeight="1">
      <c r="B173" s="137" t="s">
        <v>482</v>
      </c>
      <c r="C173" s="130"/>
      <c r="D173" s="38"/>
      <c r="E173" s="38" t="s">
        <v>629</v>
      </c>
      <c r="F173" s="771"/>
      <c r="G173" s="771"/>
      <c r="H173" s="771"/>
      <c r="I173" s="771"/>
      <c r="J173" s="779"/>
      <c r="K173" s="867" t="str">
        <f>PAAS_openshift_SEK</f>
        <v>Begär offert</v>
      </c>
      <c r="M173" s="664"/>
      <c r="N173" s="742"/>
      <c r="O173" s="8"/>
    </row>
    <row r="174" spans="2:18" ht="25" customHeight="1">
      <c r="B174" s="134" t="s">
        <v>668</v>
      </c>
      <c r="C174" s="129"/>
      <c r="D174" s="30"/>
      <c r="E174" s="30" t="s">
        <v>667</v>
      </c>
      <c r="F174" s="30"/>
      <c r="G174" s="30"/>
      <c r="H174" s="30"/>
      <c r="I174" s="30"/>
      <c r="J174" s="40"/>
      <c r="K174" s="629">
        <v>5650</v>
      </c>
      <c r="M174" s="664"/>
      <c r="N174" s="742"/>
      <c r="O174" s="8"/>
    </row>
    <row r="175" spans="2:18" ht="25" customHeight="1">
      <c r="B175" s="137" t="s">
        <v>483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484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442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247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7" t="s">
        <v>243</v>
      </c>
      <c r="C181" s="977"/>
      <c r="D181" s="977"/>
      <c r="E181" s="977"/>
      <c r="F181" s="977"/>
      <c r="G181" s="977"/>
      <c r="H181" s="780"/>
      <c r="J181" s="674"/>
      <c r="K181" s="833"/>
      <c r="M181" s="664"/>
    </row>
    <row r="182" spans="2:20" s="4" customFormat="1" ht="25" customHeight="1">
      <c r="B182" s="977"/>
      <c r="C182" s="977"/>
      <c r="D182" s="977"/>
      <c r="E182" s="977"/>
      <c r="F182" s="977"/>
      <c r="G182" s="977"/>
      <c r="H182" s="780"/>
      <c r="J182" s="674"/>
      <c r="K182" s="833"/>
      <c r="M182" s="664"/>
    </row>
    <row r="183" spans="2:20" s="4" customFormat="1" ht="25" customHeight="1">
      <c r="B183" s="977"/>
      <c r="C183" s="977"/>
      <c r="D183" s="977"/>
      <c r="E183" s="977"/>
      <c r="F183" s="977"/>
      <c r="G183" s="977"/>
      <c r="H183" s="780"/>
      <c r="J183" s="674"/>
      <c r="K183" s="833"/>
      <c r="M183" s="664"/>
    </row>
    <row r="184" spans="2:20" s="4" customFormat="1" ht="25" customHeight="1">
      <c r="B184" s="978" t="s">
        <v>506</v>
      </c>
      <c r="C184" s="978"/>
      <c r="D184" s="978"/>
      <c r="E184" s="978"/>
      <c r="F184" s="978"/>
      <c r="H184" s="780"/>
      <c r="J184" s="674"/>
      <c r="K184" s="833"/>
      <c r="M184" s="664"/>
    </row>
    <row r="185" spans="2:20" s="4" customFormat="1" ht="25" customHeight="1">
      <c r="B185" s="979" t="s">
        <v>412</v>
      </c>
      <c r="C185" s="979"/>
      <c r="D185" s="979"/>
      <c r="E185" s="979"/>
      <c r="F185" s="979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502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236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485</v>
      </c>
      <c r="C190" s="129"/>
      <c r="D190" s="30" t="s">
        <v>413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486</v>
      </c>
      <c r="C191" s="130"/>
      <c r="D191" s="38" t="s">
        <v>156</v>
      </c>
      <c r="E191" s="31"/>
      <c r="F191" s="771"/>
      <c r="G191" s="779"/>
      <c r="H191" s="779"/>
      <c r="I191" s="773" t="s">
        <v>244</v>
      </c>
      <c r="J191" s="773"/>
      <c r="K191" s="554" t="s">
        <v>499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487</v>
      </c>
      <c r="C192" s="129"/>
      <c r="D192" s="30" t="s">
        <v>160</v>
      </c>
      <c r="E192" s="129"/>
      <c r="F192" s="129"/>
      <c r="G192" s="129"/>
      <c r="H192" s="40"/>
      <c r="I192" s="770" t="s">
        <v>246</v>
      </c>
      <c r="J192" s="770"/>
      <c r="K192" s="555" t="s">
        <v>247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249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503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236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488</v>
      </c>
      <c r="C198" s="129"/>
      <c r="D198" s="30" t="s">
        <v>166</v>
      </c>
      <c r="E198" s="40"/>
      <c r="F198" s="30"/>
      <c r="G198" s="40"/>
      <c r="H198" s="40"/>
      <c r="I198" s="770" t="s">
        <v>246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489</v>
      </c>
      <c r="C199" s="130"/>
      <c r="D199" s="38" t="s">
        <v>168</v>
      </c>
      <c r="E199" s="31"/>
      <c r="F199" s="771"/>
      <c r="G199" s="779"/>
      <c r="H199" s="779"/>
      <c r="I199" s="773" t="s">
        <v>246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490</v>
      </c>
      <c r="C200" s="129"/>
      <c r="D200" s="30" t="s">
        <v>170</v>
      </c>
      <c r="E200" s="40"/>
      <c r="F200" s="30"/>
      <c r="G200" s="40"/>
      <c r="H200" s="40"/>
      <c r="I200" s="770" t="s">
        <v>246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491</v>
      </c>
      <c r="C201" s="130"/>
      <c r="D201" s="38" t="s">
        <v>172</v>
      </c>
      <c r="E201" s="38"/>
      <c r="F201" s="38"/>
      <c r="G201" s="779"/>
      <c r="H201" s="779"/>
      <c r="I201" s="773" t="s">
        <v>246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492</v>
      </c>
      <c r="C202" s="129"/>
      <c r="D202" s="30" t="s">
        <v>174</v>
      </c>
      <c r="E202" s="40"/>
      <c r="F202" s="30"/>
      <c r="G202" s="40"/>
      <c r="H202" s="40"/>
      <c r="I202" s="770" t="s">
        <v>246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493</v>
      </c>
      <c r="C203" s="130"/>
      <c r="D203" s="38" t="s">
        <v>176</v>
      </c>
      <c r="E203" s="31"/>
      <c r="F203" s="771"/>
      <c r="G203" s="779"/>
      <c r="H203" s="779"/>
      <c r="I203" s="773" t="s">
        <v>246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250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504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251</v>
      </c>
      <c r="H208" s="23"/>
      <c r="I208" s="23" t="s">
        <v>236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630</v>
      </c>
      <c r="C209" s="129"/>
      <c r="D209" s="30" t="s">
        <v>252</v>
      </c>
      <c r="E209" s="40"/>
      <c r="F209" s="30"/>
      <c r="G209" s="770" t="s">
        <v>253</v>
      </c>
      <c r="H209" s="770"/>
      <c r="I209" s="770" t="s">
        <v>254</v>
      </c>
      <c r="J209" s="770"/>
      <c r="K209" s="555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631</v>
      </c>
      <c r="C210" s="130"/>
      <c r="D210" s="38" t="s">
        <v>255</v>
      </c>
      <c r="E210" s="31"/>
      <c r="F210" s="771"/>
      <c r="G210" s="773" t="s">
        <v>253</v>
      </c>
      <c r="H210" s="773"/>
      <c r="I210" s="773" t="s">
        <v>254</v>
      </c>
      <c r="J210" s="773"/>
      <c r="K210" s="554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632</v>
      </c>
      <c r="C211" s="129"/>
      <c r="D211" s="30" t="s">
        <v>256</v>
      </c>
      <c r="E211" s="40"/>
      <c r="F211" s="30"/>
      <c r="G211" s="770" t="s">
        <v>257</v>
      </c>
      <c r="H211" s="770"/>
      <c r="I211" s="770" t="s">
        <v>254</v>
      </c>
      <c r="J211" s="770"/>
      <c r="K211" s="555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633</v>
      </c>
      <c r="C212" s="130"/>
      <c r="D212" s="38" t="s">
        <v>258</v>
      </c>
      <c r="E212" s="31"/>
      <c r="F212" s="771"/>
      <c r="G212" s="773" t="s">
        <v>257</v>
      </c>
      <c r="H212" s="773"/>
      <c r="I212" s="773" t="s">
        <v>254</v>
      </c>
      <c r="J212" s="773"/>
      <c r="K212" s="554" t="s">
        <v>247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5" t="s">
        <v>259</v>
      </c>
      <c r="C219" s="975"/>
      <c r="D219" s="975"/>
      <c r="E219" s="975"/>
      <c r="F219" s="975"/>
      <c r="G219" s="975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5"/>
      <c r="C220" s="975"/>
      <c r="D220" s="975"/>
      <c r="E220" s="975"/>
      <c r="F220" s="975"/>
      <c r="G220" s="975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5"/>
      <c r="C221" s="975"/>
      <c r="D221" s="975"/>
      <c r="E221" s="975"/>
      <c r="F221" s="975"/>
      <c r="G221" s="975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6" t="s">
        <v>412</v>
      </c>
      <c r="C222" s="976"/>
      <c r="D222" s="976"/>
      <c r="E222" s="976"/>
      <c r="F222" s="976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494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13" t="s">
        <v>627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495</v>
      </c>
      <c r="C228" s="56"/>
      <c r="D228" s="57"/>
      <c r="E228" s="56"/>
      <c r="F228" s="659"/>
      <c r="G228" s="659"/>
      <c r="H228" s="659"/>
      <c r="I228" s="56"/>
      <c r="J228" s="659" t="s">
        <v>259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807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4" t="s">
        <v>444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4" t="s">
        <v>445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5" t="s">
        <v>446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447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6" t="s">
        <v>620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cDGdqAyuWG7yFBP4YhAnQtRpNf6Z7HURKpwYqSdE3ZAe7skEC+ek8OsD+nncpYETDRSz6xSRqzz8FuxogHM0Bw==" saltValue="I0VlweBQVexdKsAw2/KR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I47:I56 I62:I65 I72:I74 I81:I83 I95:I96 I118:I120 J119:J120 K26:K39 K47:K56 K62:K65 K72:K74 K81:K83 K95:K96 K118:K120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671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659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8" t="s">
        <v>666</v>
      </c>
      <c r="C24" s="998"/>
      <c r="D24" s="998"/>
      <c r="E24" s="998"/>
      <c r="F24" s="99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1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3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4"/>
      <c r="M43" s="664"/>
      <c r="P43" s="681"/>
      <c r="Q43" s="681"/>
      <c r="R43" s="688"/>
    </row>
    <row r="44" spans="2:18" s="651" customFormat="1" ht="25" customHeight="1">
      <c r="B44" s="652" t="s">
        <v>660</v>
      </c>
      <c r="C44" s="650"/>
      <c r="D44" s="650"/>
      <c r="K44" s="935"/>
      <c r="M44" s="664"/>
    </row>
    <row r="45" spans="2:18" ht="25" customHeight="1">
      <c r="B45" s="998" t="s">
        <v>666</v>
      </c>
      <c r="C45" s="998"/>
      <c r="D45" s="998"/>
      <c r="E45" s="998"/>
      <c r="F45" s="998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511</v>
      </c>
      <c r="F46" s="131" t="s">
        <v>13</v>
      </c>
      <c r="G46" s="131" t="s">
        <v>512</v>
      </c>
      <c r="H46" s="686"/>
      <c r="I46" s="687" t="s">
        <v>513</v>
      </c>
      <c r="J46" s="686"/>
      <c r="K46" s="929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30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1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30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1">
        <f t="shared" si="14"/>
        <v>0</v>
      </c>
      <c r="L50" s="710"/>
      <c r="M50" s="664"/>
      <c r="N50" s="708"/>
      <c r="O50" s="973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30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1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30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1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30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1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6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3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937"/>
      <c r="L59" s="712"/>
      <c r="M59" s="664"/>
      <c r="R59" s="713"/>
      <c r="S59" s="713"/>
      <c r="T59" s="714"/>
    </row>
    <row r="60" spans="1:20" ht="25" hidden="1" customHeight="1">
      <c r="B60" s="984" t="s">
        <v>500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929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30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1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30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1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6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8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938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500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929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30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1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30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6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9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8"/>
      <c r="L77" s="722"/>
      <c r="M77" s="664"/>
      <c r="Q77" s="681"/>
      <c r="S77" s="681"/>
    </row>
    <row r="78" spans="2:20" ht="25" customHeight="1">
      <c r="B78" s="649" t="s">
        <v>514</v>
      </c>
      <c r="C78" s="22"/>
      <c r="D78" s="22"/>
      <c r="E78" s="22"/>
      <c r="F78" s="22"/>
      <c r="G78" s="22"/>
      <c r="H78" s="8"/>
      <c r="I78" s="8"/>
      <c r="J78" s="8"/>
      <c r="K78" s="938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510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512</v>
      </c>
      <c r="H80" s="24"/>
      <c r="I80" s="728" t="s">
        <v>519</v>
      </c>
      <c r="J80" s="24"/>
      <c r="K80" s="940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1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2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1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6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3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4"/>
      <c r="L86" s="741"/>
      <c r="M86" s="664"/>
    </row>
    <row r="87" spans="2:20" s="4" customFormat="1" ht="25" customHeight="1">
      <c r="B87" s="977" t="s">
        <v>618</v>
      </c>
      <c r="C87" s="977"/>
      <c r="D87" s="977"/>
      <c r="E87" s="977"/>
      <c r="F87" s="977"/>
      <c r="G87" s="977"/>
      <c r="H87" s="672"/>
      <c r="J87" s="674"/>
      <c r="K87" s="925"/>
      <c r="M87" s="664"/>
    </row>
    <row r="88" spans="2:20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925"/>
      <c r="M88" s="664"/>
    </row>
    <row r="89" spans="2:20" s="4" customFormat="1" ht="25" customHeight="1">
      <c r="B89" s="977"/>
      <c r="C89" s="977"/>
      <c r="D89" s="977"/>
      <c r="E89" s="977"/>
      <c r="F89" s="977"/>
      <c r="G89" s="977"/>
      <c r="H89" s="672"/>
      <c r="J89" s="674"/>
      <c r="K89" s="925"/>
      <c r="M89" s="664"/>
    </row>
    <row r="90" spans="2:20" s="4" customFormat="1" ht="25" customHeight="1">
      <c r="B90" s="549" t="s">
        <v>515</v>
      </c>
      <c r="C90" s="549"/>
      <c r="D90" s="549"/>
      <c r="E90" s="549"/>
      <c r="F90" s="549"/>
      <c r="H90" s="672"/>
      <c r="J90" s="674"/>
      <c r="K90" s="925"/>
      <c r="M90" s="664"/>
    </row>
    <row r="91" spans="2:20" s="503" customFormat="1" ht="25" customHeight="1">
      <c r="B91" s="465" t="s">
        <v>625</v>
      </c>
      <c r="C91" s="465"/>
      <c r="D91" s="465"/>
      <c r="E91" s="465"/>
      <c r="F91" s="465"/>
      <c r="G91" s="743"/>
      <c r="H91" s="744"/>
      <c r="I91" s="743"/>
      <c r="J91" s="745"/>
      <c r="K91" s="945"/>
      <c r="L91" s="743"/>
      <c r="M91" s="664"/>
    </row>
    <row r="92" spans="2:20" s="4" customFormat="1" ht="25" customHeight="1">
      <c r="B92" s="550" t="s">
        <v>516</v>
      </c>
      <c r="C92" s="74"/>
      <c r="D92" s="74"/>
      <c r="E92" s="133"/>
      <c r="F92" s="133"/>
      <c r="G92" s="677"/>
      <c r="H92" s="678"/>
      <c r="I92" s="677"/>
      <c r="J92" s="679"/>
      <c r="K92" s="926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8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517</v>
      </c>
      <c r="H94" s="24"/>
      <c r="I94" s="728" t="s">
        <v>518</v>
      </c>
      <c r="J94" s="131"/>
      <c r="K94" s="940" t="s">
        <v>83</v>
      </c>
      <c r="L94" s="680"/>
      <c r="M94" s="664"/>
      <c r="N94" s="675"/>
    </row>
    <row r="95" spans="2:20" s="752" customFormat="1" ht="25" customHeight="1">
      <c r="B95" s="445" t="s">
        <v>497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1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2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6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938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940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6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947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948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949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948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950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3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6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3"/>
      <c r="L109" s="742"/>
      <c r="M109" s="664"/>
      <c r="N109" s="675"/>
      <c r="Q109" s="4"/>
    </row>
    <row r="110" spans="2:19" s="4" customFormat="1" ht="25" customHeight="1">
      <c r="B110" s="977" t="s">
        <v>619</v>
      </c>
      <c r="C110" s="977"/>
      <c r="D110" s="977"/>
      <c r="E110" s="977"/>
      <c r="F110" s="977"/>
      <c r="G110" s="977"/>
      <c r="H110" s="672"/>
      <c r="J110" s="674"/>
      <c r="K110" s="925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925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925"/>
      <c r="L112" s="674"/>
      <c r="M112" s="664"/>
    </row>
    <row r="113" spans="2:32" s="4" customFormat="1" ht="25" customHeight="1">
      <c r="B113" s="549" t="s">
        <v>498</v>
      </c>
      <c r="C113" s="549"/>
      <c r="D113" s="549"/>
      <c r="E113" s="549"/>
      <c r="F113" s="549"/>
      <c r="H113" s="672"/>
      <c r="J113" s="674"/>
      <c r="K113" s="925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6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516</v>
      </c>
      <c r="C115" s="74"/>
      <c r="D115" s="74"/>
      <c r="E115" s="133"/>
      <c r="F115" s="133"/>
      <c r="G115" s="677"/>
      <c r="H115" s="678"/>
      <c r="I115" s="677"/>
      <c r="J115" s="679"/>
      <c r="K115" s="926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8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520</v>
      </c>
      <c r="F117" s="769"/>
      <c r="G117" s="131" t="s">
        <v>521</v>
      </c>
      <c r="H117" s="24"/>
      <c r="I117" s="728" t="s">
        <v>519</v>
      </c>
      <c r="J117" s="728" t="s">
        <v>522</v>
      </c>
      <c r="K117" s="940" t="s">
        <v>559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1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2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6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6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1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3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925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925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925"/>
      <c r="L127" s="674"/>
      <c r="M127" s="664"/>
    </row>
    <row r="128" spans="2:32" s="4" customFormat="1" ht="25" hidden="1" customHeight="1">
      <c r="B128" s="549" t="s">
        <v>527</v>
      </c>
      <c r="C128" s="6"/>
      <c r="D128" s="6"/>
      <c r="E128" s="6"/>
      <c r="F128" s="6"/>
      <c r="H128" s="672"/>
      <c r="J128" s="674"/>
      <c r="K128" s="925"/>
      <c r="L128" s="674"/>
      <c r="M128" s="664"/>
    </row>
    <row r="129" spans="2:32" s="4" customFormat="1" ht="25" hidden="1" customHeight="1">
      <c r="B129" s="465" t="s">
        <v>612</v>
      </c>
      <c r="C129" s="465"/>
      <c r="D129" s="465"/>
      <c r="E129" s="465"/>
      <c r="F129" s="465"/>
      <c r="G129" s="677"/>
      <c r="H129" s="678"/>
      <c r="J129" s="679"/>
      <c r="K129" s="926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516</v>
      </c>
      <c r="C130" s="74"/>
      <c r="D130" s="74"/>
      <c r="E130" s="74"/>
      <c r="F130" s="133"/>
      <c r="G130" s="677"/>
      <c r="H130" s="678"/>
      <c r="I130" s="677"/>
      <c r="J130" s="679"/>
      <c r="K130" s="926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8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88" t="s">
        <v>528</v>
      </c>
      <c r="D132" s="988"/>
      <c r="E132" s="988" t="s">
        <v>529</v>
      </c>
      <c r="F132" s="988"/>
      <c r="G132" s="997" t="s">
        <v>520</v>
      </c>
      <c r="H132" s="997"/>
      <c r="I132" s="24"/>
      <c r="J132" s="24"/>
      <c r="K132" s="940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532</v>
      </c>
      <c r="F133" s="995"/>
      <c r="G133" s="901" t="str">
        <f>PAAS_man.kubernetes_EUR</f>
        <v xml:space="preserve"> Requests for quotation </v>
      </c>
      <c r="H133" s="899"/>
      <c r="I133" s="749"/>
      <c r="J133" s="911">
        <v>1</v>
      </c>
      <c r="K133" s="952" t="str">
        <f>IF(J133=1,G133," ")</f>
        <v xml:space="preserve"> Requests for quotation </v>
      </c>
      <c r="L133" s="722"/>
      <c r="M133" s="664"/>
    </row>
    <row r="134" spans="2:32" ht="25" hidden="1" customHeight="1">
      <c r="B134" s="137" t="s">
        <v>467</v>
      </c>
      <c r="C134" s="994" t="s">
        <v>530</v>
      </c>
      <c r="D134" s="994"/>
      <c r="E134" s="996" t="s">
        <v>531</v>
      </c>
      <c r="F134" s="996"/>
      <c r="G134" s="902" t="str">
        <f>PAAS_man.kubernetes8_EUR</f>
        <v>Requests for quotation</v>
      </c>
      <c r="H134" s="900"/>
      <c r="I134" s="753"/>
      <c r="J134" s="738"/>
      <c r="K134" s="953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6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3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1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6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100</v>
      </c>
      <c r="C139" s="977"/>
      <c r="D139" s="977"/>
      <c r="E139" s="977"/>
      <c r="F139" s="977"/>
      <c r="G139" s="977"/>
      <c r="H139" s="672"/>
      <c r="J139" s="674"/>
      <c r="K139" s="925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925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925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6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6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6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534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535</v>
      </c>
      <c r="K146" s="940" t="s">
        <v>14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536</v>
      </c>
      <c r="K147" s="921">
        <f>NET_publicv4_EUR</f>
        <v>2.2250000000000001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20">
        <f>NET_publicv6_EUR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1">
        <f>NET_ingress_EUR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20">
        <f>NET_egress_EUR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537</v>
      </c>
      <c r="F151" s="37"/>
      <c r="G151" s="37"/>
      <c r="H151" s="37"/>
      <c r="I151" s="37"/>
      <c r="J151" s="770" t="s">
        <v>116</v>
      </c>
      <c r="K151" s="954" t="str">
        <f>NET_mgn.slb_EUR</f>
        <v>Request a quote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20">
        <f>NET_rdns_EUR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1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5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539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535</v>
      </c>
      <c r="K159" s="940" t="s">
        <v>14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941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942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941">
        <f>SW_win.ser.201X_EUR</f>
        <v>6.9419999999999993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942">
        <f>SW_ms.sql.ser_EUR</f>
        <v>133.322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956" t="str">
        <f>SW_nextcloud_EUR</f>
        <v>Request a quote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957" t="str">
        <f>SW_suse_EUR</f>
        <v>Request a quote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958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942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139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540</v>
      </c>
      <c r="M170" s="664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940" t="s">
        <v>14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959" t="str">
        <f>PAAS_man.kubernetes_EUR</f>
        <v xml:space="preserve"> Requests for quotation 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942" t="str">
        <f>PAAS_man.postgres.sql_EUR</f>
        <v>Requests for quotation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941" t="str">
        <f>PAAS_man.elasticsearch_EUR</f>
        <v>Requests for quotation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628</v>
      </c>
      <c r="F175" s="771"/>
      <c r="G175" s="771"/>
      <c r="H175" s="771"/>
      <c r="I175" s="771"/>
      <c r="J175" s="779"/>
      <c r="K175" s="942" t="str">
        <f>PAAS_openshift_EUR</f>
        <v>Requests for quotation</v>
      </c>
      <c r="M175" s="664"/>
      <c r="N175" s="742"/>
      <c r="O175" s="8"/>
    </row>
    <row r="176" spans="2:18" ht="25" customHeight="1">
      <c r="B176" s="134" t="s">
        <v>483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41" t="str">
        <f>PAAS_man.nats_EUR</f>
        <v>Requests for quotation</v>
      </c>
      <c r="M176" s="664"/>
      <c r="N176" s="742"/>
      <c r="O176" s="8"/>
    </row>
    <row r="177" spans="2:20" ht="25" customHeight="1">
      <c r="B177" s="137" t="s">
        <v>668</v>
      </c>
      <c r="C177" s="130"/>
      <c r="D177" s="38"/>
      <c r="E177" s="38" t="s">
        <v>667</v>
      </c>
      <c r="F177" s="771"/>
      <c r="G177" s="771"/>
      <c r="H177" s="771"/>
      <c r="I177" s="771"/>
      <c r="J177" s="779"/>
      <c r="K177" s="974">
        <v>565</v>
      </c>
      <c r="M177" s="664"/>
      <c r="N177" s="742"/>
      <c r="O177" s="8"/>
    </row>
    <row r="178" spans="2:20" ht="25" customHeight="1">
      <c r="B178" s="134" t="s">
        <v>484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941" t="str">
        <f>PAAS_man.mariadb_EUR</f>
        <v>Requests for quotation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942" t="str">
        <f>PAAS_man.redis_EUR</f>
        <v>Requests for quotation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958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943"/>
      <c r="L182" s="742"/>
      <c r="M182" s="664"/>
      <c r="N182" s="675"/>
      <c r="O182" s="675"/>
    </row>
    <row r="183" spans="2:20" s="4" customFormat="1" ht="25" customHeight="1">
      <c r="B183" s="977" t="s">
        <v>541</v>
      </c>
      <c r="C183" s="977"/>
      <c r="D183" s="977"/>
      <c r="E183" s="977"/>
      <c r="F183" s="977"/>
      <c r="G183" s="977"/>
      <c r="H183" s="780"/>
      <c r="J183" s="674"/>
      <c r="K183" s="925"/>
      <c r="M183" s="664"/>
    </row>
    <row r="184" spans="2:20" s="4" customFormat="1" ht="25" customHeight="1">
      <c r="B184" s="977"/>
      <c r="C184" s="977"/>
      <c r="D184" s="977"/>
      <c r="E184" s="977"/>
      <c r="F184" s="977"/>
      <c r="G184" s="977"/>
      <c r="H184" s="780"/>
      <c r="J184" s="674"/>
      <c r="K184" s="925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925"/>
      <c r="M185" s="664"/>
    </row>
    <row r="186" spans="2:20" s="4" customFormat="1" ht="25" customHeight="1">
      <c r="B186" s="978" t="s">
        <v>542</v>
      </c>
      <c r="C186" s="978"/>
      <c r="D186" s="978"/>
      <c r="E186" s="978"/>
      <c r="F186" s="978"/>
      <c r="H186" s="780"/>
      <c r="J186" s="674"/>
      <c r="K186" s="925"/>
      <c r="M186" s="664"/>
    </row>
    <row r="187" spans="2:20" s="4" customFormat="1" ht="25" customHeight="1">
      <c r="B187" s="979" t="s">
        <v>543</v>
      </c>
      <c r="C187" s="979"/>
      <c r="D187" s="979"/>
      <c r="E187" s="979"/>
      <c r="F187" s="979"/>
      <c r="G187" s="677"/>
      <c r="H187" s="678"/>
      <c r="I187" s="677"/>
      <c r="J187" s="679"/>
      <c r="K187" s="926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926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960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544</v>
      </c>
      <c r="M190" s="664"/>
    </row>
    <row r="191" spans="2:20" ht="25" customHeight="1">
      <c r="B191" s="470" t="s">
        <v>9</v>
      </c>
      <c r="C191" s="23"/>
      <c r="D191" s="24" t="s">
        <v>64</v>
      </c>
      <c r="E191" s="24"/>
      <c r="F191" s="24"/>
      <c r="G191" s="24"/>
      <c r="H191" s="24"/>
      <c r="I191" s="23" t="s">
        <v>535</v>
      </c>
      <c r="J191" s="23"/>
      <c r="K191" s="940" t="s">
        <v>14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485</v>
      </c>
      <c r="C192" s="129"/>
      <c r="D192" s="30" t="s">
        <v>545</v>
      </c>
      <c r="E192" s="40"/>
      <c r="F192" s="30"/>
      <c r="G192" s="40"/>
      <c r="H192" s="40"/>
      <c r="I192" s="775" t="s">
        <v>560</v>
      </c>
      <c r="J192" s="775"/>
      <c r="K192" s="941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486</v>
      </c>
      <c r="C193" s="130"/>
      <c r="D193" s="38" t="s">
        <v>156</v>
      </c>
      <c r="E193" s="31"/>
      <c r="F193" s="771"/>
      <c r="G193" s="779"/>
      <c r="H193" s="779"/>
      <c r="I193" s="773" t="s">
        <v>157</v>
      </c>
      <c r="J193" s="773"/>
      <c r="K193" s="942" t="s">
        <v>546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487</v>
      </c>
      <c r="C194" s="129"/>
      <c r="D194" s="30" t="s">
        <v>160</v>
      </c>
      <c r="E194" s="129"/>
      <c r="F194" s="129"/>
      <c r="G194" s="129"/>
      <c r="H194" s="40"/>
      <c r="I194" s="770" t="s">
        <v>161</v>
      </c>
      <c r="J194" s="770"/>
      <c r="K194" s="941" t="s">
        <v>547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958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942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548</v>
      </c>
      <c r="C197" s="878"/>
      <c r="D197" s="878"/>
      <c r="F197" s="878"/>
      <c r="G197" s="878"/>
      <c r="H197" s="878"/>
      <c r="I197" s="879"/>
      <c r="J197" s="879"/>
      <c r="K197" s="961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549</v>
      </c>
      <c r="M198" s="664"/>
    </row>
    <row r="199" spans="2:18" ht="25" customHeight="1">
      <c r="B199" s="470" t="s">
        <v>9</v>
      </c>
      <c r="C199" s="23"/>
      <c r="D199" s="24" t="s">
        <v>64</v>
      </c>
      <c r="E199" s="24"/>
      <c r="F199" s="24"/>
      <c r="G199" s="24"/>
      <c r="H199" s="24"/>
      <c r="I199" s="23" t="s">
        <v>535</v>
      </c>
      <c r="J199" s="23"/>
      <c r="K199" s="940" t="s">
        <v>14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488</v>
      </c>
      <c r="C200" s="129"/>
      <c r="D200" s="30" t="s">
        <v>166</v>
      </c>
      <c r="E200" s="40"/>
      <c r="F200" s="30"/>
      <c r="G200" s="40"/>
      <c r="H200" s="40"/>
      <c r="I200" s="770" t="s">
        <v>161</v>
      </c>
      <c r="J200" s="770"/>
      <c r="K200" s="941">
        <f>PS_consult.jun_EUR</f>
        <v>100.303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489</v>
      </c>
      <c r="C201" s="130"/>
      <c r="D201" s="38" t="s">
        <v>168</v>
      </c>
      <c r="E201" s="31"/>
      <c r="F201" s="771"/>
      <c r="G201" s="779"/>
      <c r="H201" s="779"/>
      <c r="I201" s="773" t="s">
        <v>161</v>
      </c>
      <c r="J201" s="773"/>
      <c r="K201" s="942">
        <f>PS_consult.sen_EUR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490</v>
      </c>
      <c r="C202" s="129"/>
      <c r="D202" s="30" t="s">
        <v>170</v>
      </c>
      <c r="E202" s="40"/>
      <c r="F202" s="30"/>
      <c r="G202" s="40"/>
      <c r="H202" s="40"/>
      <c r="I202" s="770" t="s">
        <v>161</v>
      </c>
      <c r="J202" s="770"/>
      <c r="K202" s="941">
        <f>PS_cloudarch.jun_EUR</f>
        <v>113.65299999999999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491</v>
      </c>
      <c r="C203" s="130"/>
      <c r="D203" s="38" t="s">
        <v>172</v>
      </c>
      <c r="E203" s="38"/>
      <c r="F203" s="38"/>
      <c r="G203" s="779"/>
      <c r="H203" s="779"/>
      <c r="I203" s="773" t="s">
        <v>161</v>
      </c>
      <c r="J203" s="773"/>
      <c r="K203" s="942">
        <f>PS_cloudarch.sen_EUR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492</v>
      </c>
      <c r="C204" s="129"/>
      <c r="D204" s="30" t="s">
        <v>174</v>
      </c>
      <c r="E204" s="40"/>
      <c r="F204" s="30"/>
      <c r="G204" s="40"/>
      <c r="H204" s="40"/>
      <c r="I204" s="770" t="s">
        <v>161</v>
      </c>
      <c r="J204" s="770"/>
      <c r="K204" s="941">
        <f>PS_pm.jun_EUR</f>
        <v>101.371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493</v>
      </c>
      <c r="C205" s="130"/>
      <c r="D205" s="38" t="s">
        <v>176</v>
      </c>
      <c r="E205" s="31"/>
      <c r="F205" s="771"/>
      <c r="G205" s="779"/>
      <c r="H205" s="779"/>
      <c r="I205" s="773" t="s">
        <v>161</v>
      </c>
      <c r="J205" s="773"/>
      <c r="K205" s="942">
        <f>PS_pm.sen_EUR</f>
        <v>122.28599999999999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958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942"/>
      <c r="M207" s="664"/>
      <c r="N207" s="742"/>
      <c r="O207" s="8"/>
    </row>
    <row r="208" spans="2:18" ht="25" customHeight="1">
      <c r="B208" s="649" t="s">
        <v>550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551</v>
      </c>
      <c r="M209" s="664"/>
    </row>
    <row r="210" spans="1:18" ht="25" customHeight="1">
      <c r="B210" s="470" t="s">
        <v>9</v>
      </c>
      <c r="C210" s="23"/>
      <c r="D210" s="24" t="s">
        <v>64</v>
      </c>
      <c r="E210" s="132"/>
      <c r="F210" s="24"/>
      <c r="G210" s="131" t="s">
        <v>178</v>
      </c>
      <c r="H210" s="23"/>
      <c r="I210" s="132" t="s">
        <v>535</v>
      </c>
      <c r="J210" s="23"/>
      <c r="K210" s="940" t="s">
        <v>179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630</v>
      </c>
      <c r="C211" s="129"/>
      <c r="D211" s="30" t="s">
        <v>182</v>
      </c>
      <c r="E211" s="40"/>
      <c r="F211" s="30"/>
      <c r="G211" s="40" t="s">
        <v>181</v>
      </c>
      <c r="H211" s="770"/>
      <c r="I211" s="905" t="s">
        <v>183</v>
      </c>
      <c r="J211" s="770"/>
      <c r="K211" s="941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631</v>
      </c>
      <c r="C212" s="130"/>
      <c r="D212" s="38" t="s">
        <v>552</v>
      </c>
      <c r="E212" s="31"/>
      <c r="F212" s="771"/>
      <c r="G212" s="779" t="s">
        <v>181</v>
      </c>
      <c r="H212" s="773"/>
      <c r="I212" s="906" t="s">
        <v>183</v>
      </c>
      <c r="J212" s="773"/>
      <c r="K212" s="942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632</v>
      </c>
      <c r="C213" s="129"/>
      <c r="D213" s="30" t="s">
        <v>553</v>
      </c>
      <c r="E213" s="40"/>
      <c r="F213" s="30"/>
      <c r="G213" s="40" t="s">
        <v>187</v>
      </c>
      <c r="H213" s="770"/>
      <c r="I213" s="905" t="s">
        <v>183</v>
      </c>
      <c r="J213" s="770"/>
      <c r="K213" s="941" t="s">
        <v>547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633</v>
      </c>
      <c r="C214" s="130"/>
      <c r="D214" s="38" t="s">
        <v>554</v>
      </c>
      <c r="E214" s="31"/>
      <c r="F214" s="771"/>
      <c r="G214" s="779" t="s">
        <v>187</v>
      </c>
      <c r="H214" s="773"/>
      <c r="I214" s="906" t="s">
        <v>183</v>
      </c>
      <c r="J214" s="773"/>
      <c r="K214" s="942" t="s">
        <v>547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958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944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962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3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3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963"/>
      <c r="L220" s="3"/>
      <c r="M220" s="664"/>
    </row>
    <row r="221" spans="1:18" s="4" customFormat="1" ht="25" customHeight="1">
      <c r="A221" s="3"/>
      <c r="B221" s="975" t="s">
        <v>191</v>
      </c>
      <c r="C221" s="975"/>
      <c r="D221" s="975"/>
      <c r="E221" s="975"/>
      <c r="F221" s="975"/>
      <c r="G221" s="975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5"/>
      <c r="C222" s="975"/>
      <c r="D222" s="975"/>
      <c r="E222" s="975"/>
      <c r="F222" s="975"/>
      <c r="G222" s="975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923"/>
      <c r="L223" s="3"/>
      <c r="M223" s="664"/>
    </row>
    <row r="224" spans="1:18" s="4" customFormat="1" ht="25" customHeight="1">
      <c r="A224" s="3"/>
      <c r="B224" s="976" t="s">
        <v>543</v>
      </c>
      <c r="C224" s="976"/>
      <c r="D224" s="976"/>
      <c r="E224" s="976"/>
      <c r="F224" s="976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22" t="s">
        <v>556</v>
      </c>
      <c r="C226" s="62"/>
      <c r="D226" s="62"/>
      <c r="E226" s="62"/>
      <c r="F226" s="62"/>
      <c r="G226" s="3"/>
      <c r="H226" s="666"/>
      <c r="I226" s="793"/>
      <c r="J226" s="3"/>
      <c r="K226" s="923"/>
      <c r="L226" s="794"/>
      <c r="M226" s="664"/>
    </row>
    <row r="227" spans="1:20" s="4" customFormat="1" ht="25" customHeight="1">
      <c r="A227" s="3"/>
      <c r="B227" s="418" t="s">
        <v>557</v>
      </c>
      <c r="C227" s="62"/>
      <c r="D227" s="62"/>
      <c r="E227" s="62"/>
      <c r="F227" s="62"/>
      <c r="G227" s="3"/>
      <c r="H227" s="666"/>
      <c r="I227" s="3"/>
      <c r="J227" s="667"/>
      <c r="K227" s="923"/>
      <c r="L227" s="794"/>
      <c r="M227" s="664"/>
    </row>
    <row r="228" spans="1:20" s="4" customFormat="1" ht="25" customHeight="1">
      <c r="A228" s="3"/>
      <c r="B228" s="913" t="s">
        <v>627</v>
      </c>
      <c r="C228" s="67"/>
      <c r="D228" s="67"/>
      <c r="E228" s="67"/>
      <c r="F228" s="67"/>
      <c r="G228" s="794"/>
      <c r="H228" s="795"/>
      <c r="I228" s="794"/>
      <c r="J228" s="796"/>
      <c r="K228" s="964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964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558</v>
      </c>
      <c r="C230" s="56"/>
      <c r="D230" s="57"/>
      <c r="E230" s="56"/>
      <c r="F230" s="659"/>
      <c r="G230" s="659"/>
      <c r="H230" s="659"/>
      <c r="I230" s="56"/>
      <c r="J230" s="659" t="s">
        <v>555</v>
      </c>
      <c r="K230" s="965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970">
        <f>K66+K75+K57+K40+K84</f>
        <v>0</v>
      </c>
      <c r="K231" s="941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971">
        <f>K97</f>
        <v>0</v>
      </c>
      <c r="K232" s="941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971">
        <f>K121</f>
        <v>0</v>
      </c>
      <c r="K233" s="941"/>
      <c r="L233" s="2"/>
      <c r="M233" s="664"/>
      <c r="N233" s="28"/>
    </row>
    <row r="234" spans="1:20" s="808" customFormat="1" ht="25" customHeight="1">
      <c r="A234" s="806"/>
      <c r="B234" s="917" t="s">
        <v>30</v>
      </c>
      <c r="C234" s="907"/>
      <c r="D234" s="907"/>
      <c r="E234" s="907"/>
      <c r="F234" s="907"/>
      <c r="G234" s="907"/>
      <c r="H234" s="907"/>
      <c r="I234" s="907"/>
      <c r="J234" s="972">
        <f>SUM(J231:J233)</f>
        <v>0</v>
      </c>
      <c r="K234" s="966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967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941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946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968"/>
    </row>
    <row r="239" spans="1:20" s="112" customFormat="1" ht="25" customHeight="1">
      <c r="B239" s="914" t="s">
        <v>523</v>
      </c>
      <c r="C239" s="108"/>
      <c r="D239" s="108"/>
      <c r="E239" s="108"/>
      <c r="F239" s="820"/>
      <c r="G239" s="821"/>
      <c r="H239" s="822"/>
      <c r="I239" s="822"/>
      <c r="J239" s="822"/>
      <c r="K239" s="969"/>
      <c r="L239" s="819"/>
      <c r="M239" s="819"/>
      <c r="N239" s="819"/>
    </row>
    <row r="240" spans="1:20" s="112" customFormat="1" ht="25" customHeight="1">
      <c r="B240" s="914" t="s">
        <v>524</v>
      </c>
      <c r="C240" s="108"/>
      <c r="D240" s="108"/>
      <c r="E240" s="108"/>
      <c r="F240" s="820"/>
      <c r="G240" s="821"/>
      <c r="H240" s="822"/>
      <c r="I240" s="822"/>
      <c r="J240" s="822"/>
      <c r="K240" s="969"/>
      <c r="L240" s="819"/>
      <c r="M240" s="819"/>
      <c r="N240" s="819"/>
    </row>
    <row r="241" spans="1:23" s="112" customFormat="1" ht="25" customHeight="1">
      <c r="B241" s="915" t="s">
        <v>525</v>
      </c>
      <c r="C241" s="108"/>
      <c r="D241" s="108"/>
      <c r="E241" s="108"/>
      <c r="F241" s="820"/>
      <c r="G241" s="821"/>
      <c r="H241" s="822"/>
      <c r="I241" s="822"/>
      <c r="J241" s="822"/>
      <c r="K241" s="969"/>
      <c r="L241" s="819"/>
      <c r="M241" s="819"/>
      <c r="N241" s="819"/>
    </row>
    <row r="242" spans="1:23" s="112" customFormat="1" ht="25" customHeight="1">
      <c r="B242" s="914" t="s">
        <v>526</v>
      </c>
      <c r="C242" s="108"/>
      <c r="D242" s="108"/>
      <c r="E242" s="108"/>
      <c r="F242" s="820"/>
      <c r="G242" s="821"/>
      <c r="H242" s="822"/>
      <c r="I242" s="822"/>
      <c r="J242" s="822"/>
      <c r="K242" s="969"/>
      <c r="L242" s="819"/>
      <c r="M242" s="819"/>
      <c r="N242" s="819"/>
    </row>
    <row r="243" spans="1:23" s="112" customFormat="1" ht="25" customHeight="1">
      <c r="B243" s="916" t="s">
        <v>621</v>
      </c>
      <c r="C243" s="108"/>
      <c r="D243" s="108"/>
      <c r="E243" s="108"/>
      <c r="F243" s="820"/>
      <c r="G243" s="821"/>
      <c r="H243" s="822"/>
      <c r="I243" s="822"/>
      <c r="J243" s="822"/>
      <c r="K243" s="96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9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9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9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969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9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9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969"/>
      <c r="L267" s="819"/>
      <c r="M267" s="819"/>
      <c r="N267" s="819"/>
    </row>
    <row r="268" spans="2:14" s="112" customFormat="1" ht="25" customHeight="1">
      <c r="B268" s="646"/>
      <c r="K268" s="969"/>
      <c r="M268" s="824"/>
    </row>
    <row r="269" spans="2:14" s="112" customFormat="1" ht="25" customHeight="1">
      <c r="B269" s="646"/>
      <c r="K269" s="969"/>
      <c r="M269" s="824"/>
    </row>
    <row r="270" spans="2:14" s="112" customFormat="1" ht="25" customHeight="1">
      <c r="B270" s="646"/>
      <c r="K270" s="969"/>
      <c r="M270" s="824"/>
    </row>
    <row r="271" spans="2:14" s="112" customFormat="1" ht="25" customHeight="1">
      <c r="B271" s="646"/>
      <c r="K271" s="969"/>
      <c r="M271" s="824"/>
    </row>
    <row r="272" spans="2:14" s="112" customFormat="1" ht="25" customHeight="1">
      <c r="B272" s="646"/>
      <c r="K272" s="969"/>
      <c r="M272" s="824"/>
    </row>
    <row r="273" spans="2:13" s="112" customFormat="1" ht="25" customHeight="1">
      <c r="B273" s="646"/>
      <c r="K273" s="969"/>
      <c r="M273" s="824"/>
    </row>
    <row r="274" spans="2:13" s="112" customFormat="1" ht="25" customHeight="1">
      <c r="B274" s="646"/>
      <c r="K274" s="969"/>
      <c r="M274" s="824"/>
    </row>
    <row r="275" spans="2:13" s="112" customFormat="1" ht="25" customHeight="1">
      <c r="B275" s="646"/>
      <c r="K275" s="969"/>
      <c r="M275" s="824"/>
    </row>
    <row r="276" spans="2:13" s="112" customFormat="1" ht="25" customHeight="1">
      <c r="B276" s="646"/>
      <c r="K276" s="969"/>
      <c r="M276" s="824"/>
    </row>
    <row r="277" spans="2:13" s="112" customFormat="1" ht="25" customHeight="1">
      <c r="B277" s="646"/>
      <c r="K277" s="969"/>
      <c r="M277" s="824"/>
    </row>
    <row r="278" spans="2:13" s="112" customFormat="1" ht="25" customHeight="1">
      <c r="B278" s="646"/>
      <c r="K278" s="969"/>
      <c r="M278" s="824"/>
    </row>
    <row r="279" spans="2:13" s="112" customFormat="1" ht="25" customHeight="1">
      <c r="B279" s="646"/>
      <c r="K279" s="969"/>
      <c r="M279" s="824"/>
    </row>
    <row r="280" spans="2:13" s="112" customFormat="1" ht="25" customHeight="1">
      <c r="B280" s="646"/>
      <c r="K280" s="969"/>
      <c r="M280" s="824"/>
    </row>
    <row r="281" spans="2:13" s="112" customFormat="1" ht="25" customHeight="1">
      <c r="B281" s="646"/>
      <c r="K281" s="969"/>
      <c r="M281" s="824"/>
    </row>
    <row r="282" spans="2:13" s="112" customFormat="1" ht="25" customHeight="1">
      <c r="B282" s="646"/>
      <c r="K282" s="969"/>
      <c r="M282" s="824"/>
    </row>
    <row r="283" spans="2:13" s="112" customFormat="1" ht="25" customHeight="1">
      <c r="B283" s="646"/>
      <c r="K283" s="969"/>
      <c r="M283" s="824"/>
    </row>
    <row r="284" spans="2:13" s="112" customFormat="1" ht="25" customHeight="1">
      <c r="B284" s="646"/>
      <c r="K284" s="969"/>
      <c r="M284" s="824"/>
    </row>
    <row r="285" spans="2:13" s="112" customFormat="1" ht="25" customHeight="1">
      <c r="B285" s="646"/>
      <c r="K285" s="969"/>
      <c r="M285" s="824"/>
    </row>
    <row r="286" spans="2:13" s="112" customFormat="1" ht="25" customHeight="1">
      <c r="B286" s="646"/>
      <c r="K286" s="969"/>
      <c r="M286" s="824"/>
    </row>
    <row r="287" spans="2:13" s="112" customFormat="1" ht="25" customHeight="1">
      <c r="B287" s="646"/>
      <c r="K287" s="969"/>
      <c r="M287" s="824"/>
    </row>
    <row r="288" spans="2:13" s="112" customFormat="1" ht="25" customHeight="1">
      <c r="B288" s="646"/>
      <c r="K288" s="969"/>
      <c r="M288" s="824"/>
    </row>
    <row r="289" spans="2:13" s="112" customFormat="1" ht="25" customHeight="1">
      <c r="B289" s="646"/>
      <c r="K289" s="969"/>
      <c r="M289" s="824"/>
    </row>
    <row r="290" spans="2:13" s="112" customFormat="1" ht="25" customHeight="1">
      <c r="B290" s="646"/>
      <c r="K290" s="969"/>
      <c r="M290" s="824"/>
    </row>
    <row r="291" spans="2:13" s="112" customFormat="1" ht="25" customHeight="1">
      <c r="B291" s="646"/>
      <c r="K291" s="969"/>
      <c r="M291" s="824"/>
    </row>
    <row r="292" spans="2:13" s="112" customFormat="1" ht="25" customHeight="1">
      <c r="B292" s="646"/>
      <c r="K292" s="969"/>
      <c r="M292" s="824"/>
    </row>
    <row r="293" spans="2:13" s="112" customFormat="1" ht="25" customHeight="1">
      <c r="B293" s="646"/>
      <c r="K293" s="969"/>
      <c r="M293" s="824"/>
    </row>
    <row r="294" spans="2:13" s="112" customFormat="1" ht="25" customHeight="1">
      <c r="B294" s="646"/>
      <c r="K294" s="969"/>
      <c r="M294" s="824"/>
    </row>
    <row r="295" spans="2:13" s="112" customFormat="1" ht="25" customHeight="1">
      <c r="B295" s="646"/>
      <c r="K295" s="969"/>
      <c r="M295" s="824"/>
    </row>
    <row r="296" spans="2:13" s="112" customFormat="1" ht="25" customHeight="1">
      <c r="B296" s="646"/>
      <c r="K296" s="969"/>
      <c r="M296" s="824"/>
    </row>
    <row r="297" spans="2:13" s="112" customFormat="1" ht="25" customHeight="1">
      <c r="B297" s="646"/>
      <c r="K297" s="969"/>
      <c r="M297" s="824"/>
    </row>
    <row r="298" spans="2:13" s="112" customFormat="1" ht="25" customHeight="1">
      <c r="B298" s="646"/>
      <c r="K298" s="969"/>
      <c r="M298" s="824"/>
    </row>
    <row r="299" spans="2:13" s="112" customFormat="1" ht="25" customHeight="1">
      <c r="B299" s="646"/>
      <c r="K299" s="969"/>
      <c r="M299" s="824"/>
    </row>
    <row r="300" spans="2:13" s="112" customFormat="1" ht="25" customHeight="1">
      <c r="B300" s="646"/>
      <c r="K300" s="969"/>
      <c r="M300" s="824"/>
    </row>
    <row r="301" spans="2:13" s="112" customFormat="1" ht="25" customHeight="1">
      <c r="B301" s="646"/>
      <c r="K301" s="969"/>
      <c r="M301" s="824"/>
    </row>
    <row r="302" spans="2:13" s="112" customFormat="1" ht="25" customHeight="1">
      <c r="B302" s="646"/>
      <c r="K302" s="969"/>
      <c r="M302" s="824"/>
    </row>
    <row r="303" spans="2:13" s="112" customFormat="1" ht="25" customHeight="1">
      <c r="B303" s="646"/>
      <c r="K303" s="969"/>
      <c r="M303" s="824"/>
    </row>
    <row r="304" spans="2:13" s="112" customFormat="1" ht="25" customHeight="1">
      <c r="B304" s="646"/>
      <c r="K304" s="969"/>
      <c r="M304" s="824"/>
    </row>
    <row r="305" spans="2:13" s="112" customFormat="1" ht="25" customHeight="1">
      <c r="B305" s="646"/>
      <c r="K305" s="969"/>
      <c r="M305" s="824"/>
    </row>
    <row r="306" spans="2:13" s="112" customFormat="1" ht="25" customHeight="1">
      <c r="B306" s="646"/>
      <c r="K306" s="969"/>
      <c r="M306" s="824"/>
    </row>
    <row r="307" spans="2:13" s="112" customFormat="1" ht="25" customHeight="1">
      <c r="B307" s="646"/>
      <c r="K307" s="969"/>
      <c r="M307" s="824"/>
    </row>
    <row r="308" spans="2:13" s="112" customFormat="1" ht="25" customHeight="1">
      <c r="B308" s="646"/>
      <c r="K308" s="969"/>
      <c r="M308" s="824"/>
    </row>
    <row r="309" spans="2:13" s="112" customFormat="1" ht="25" customHeight="1">
      <c r="B309" s="646"/>
      <c r="K309" s="969"/>
      <c r="M309" s="824"/>
    </row>
    <row r="310" spans="2:13" s="112" customFormat="1" ht="25" customHeight="1">
      <c r="B310" s="646"/>
      <c r="K310" s="969"/>
      <c r="M310" s="824"/>
    </row>
    <row r="311" spans="2:13" s="112" customFormat="1" ht="25" customHeight="1">
      <c r="B311" s="646"/>
      <c r="K311" s="969"/>
      <c r="M311" s="824"/>
    </row>
    <row r="312" spans="2:13" s="112" customFormat="1" ht="25" customHeight="1">
      <c r="B312" s="646"/>
      <c r="K312" s="969"/>
      <c r="M312" s="824"/>
    </row>
    <row r="313" spans="2:13" s="112" customFormat="1" ht="25" customHeight="1">
      <c r="B313" s="646"/>
      <c r="K313" s="969"/>
      <c r="M313" s="824"/>
    </row>
    <row r="314" spans="2:13" s="112" customFormat="1" ht="25" customHeight="1">
      <c r="B314" s="646"/>
      <c r="K314" s="969"/>
      <c r="M314" s="824"/>
    </row>
    <row r="315" spans="2:13" s="112" customFormat="1" ht="25" customHeight="1">
      <c r="B315" s="646"/>
      <c r="K315" s="969"/>
      <c r="M315" s="824"/>
    </row>
    <row r="316" spans="2:13" s="112" customFormat="1" ht="25" customHeight="1">
      <c r="B316" s="646"/>
      <c r="K316" s="969"/>
      <c r="M316" s="824"/>
    </row>
    <row r="317" spans="2:13" s="112" customFormat="1" ht="25" customHeight="1">
      <c r="B317" s="646"/>
      <c r="K317" s="969"/>
      <c r="M317" s="824"/>
    </row>
    <row r="318" spans="2:13" s="112" customFormat="1" ht="25" customHeight="1">
      <c r="B318" s="646"/>
      <c r="K318" s="969"/>
      <c r="M318" s="824"/>
    </row>
    <row r="330" spans="2:4" ht="25" customHeight="1">
      <c r="B330" s="647"/>
      <c r="C330" s="38"/>
      <c r="D330" s="96"/>
    </row>
  </sheetData>
  <sheetProtection algorithmName="SHA-512" hashValue="bIs0QkKyyaVkIo1JWYEgYZWorHEiuFfC9sXpHKvlIaypJzKWFNykTPSWcW/sF+WhajumwPa0atzHFKQ/4TLiqA==" saltValue="tg4VDx820EnFIXf6uQ8kWw==" spinCount="100000" sheet="1" selectLockedCells="1"/>
  <mergeCells count="40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B24:F24"/>
    <mergeCell ref="B45:F45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C134:D134"/>
    <mergeCell ref="E134:F134"/>
    <mergeCell ref="B139:G141"/>
    <mergeCell ref="B183:G185"/>
  </mergeCells>
  <phoneticPr fontId="2" type="noConversion"/>
  <conditionalFormatting sqref="I26:I39 I47:I56 I62:I65 I72:I74 I81:I83 I95:I96 I118:I120 J119:J120 K26:K39 K47:K56 K62:K65 K72:K74 K81:K83 K95:K96 K118:K120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  <hyperlink ref="B45" location="'SEK - Safesprings tjänster 2022'!I83" display="Central blocklagring kan köpas till insatserna. Se &quot;Central blocklagring&quot; i prislistan." xr:uid="{6B3EB40B-7D23-914E-B01A-A235AF4CC2B2}"/>
    <hyperlink ref="B45:E45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2" t="str">
        <f>"1 SEK = "&amp;EUR&amp;" EUR"</f>
        <v>1 SEK = 0,089 EUR</v>
      </c>
      <c r="E11" s="1052"/>
      <c r="F11" s="105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2"/>
      <c r="C16" s="1042"/>
      <c r="D16" s="1042"/>
      <c r="E16" s="1042"/>
      <c r="F16" s="1042"/>
      <c r="G16" s="1042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2"/>
      <c r="C17" s="1042"/>
      <c r="D17" s="1042"/>
      <c r="E17" s="1042"/>
      <c r="F17" s="1042"/>
      <c r="G17" s="1042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9" t="s">
        <v>6</v>
      </c>
      <c r="C19" s="1049"/>
      <c r="D19" s="1049"/>
      <c r="E19" s="1049"/>
      <c r="F19" s="1049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1" t="s">
        <v>65</v>
      </c>
      <c r="G88" s="1051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5">
        <f>VOLUME_large_EUR</f>
        <v>0.10679999999999999</v>
      </c>
      <c r="G89" s="1025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7">
        <f>VOLUME_fast_EUR</f>
        <v>0.32040000000000002</v>
      </c>
      <c r="G90" s="1047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565"/>
      <c r="O95" s="168"/>
    </row>
    <row r="96" spans="2:23" s="169" customFormat="1" ht="2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565"/>
      <c r="O96" s="168"/>
    </row>
    <row r="97" spans="2:22" s="169" customFormat="1" ht="2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565"/>
      <c r="O97" s="168"/>
    </row>
    <row r="98" spans="2:22" s="169" customFormat="1" ht="25" customHeight="1">
      <c r="B98" s="1048" t="s">
        <v>73</v>
      </c>
      <c r="C98" s="1048"/>
      <c r="D98" s="1048"/>
      <c r="E98" s="1048"/>
      <c r="F98" s="1048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9" t="s">
        <v>74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1" t="s">
        <v>76</v>
      </c>
      <c r="E102" s="1051"/>
      <c r="F102" s="1051"/>
      <c r="G102" s="1051"/>
      <c r="H102" s="266" t="s">
        <v>75</v>
      </c>
      <c r="I102" s="265"/>
      <c r="J102" s="1051"/>
      <c r="K102" s="1051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5">
        <f>S3_storage.50_EUR</f>
        <v>31.15</v>
      </c>
      <c r="E104" s="1045"/>
      <c r="F104" s="1046"/>
      <c r="G104" s="1046"/>
      <c r="H104" s="1046"/>
      <c r="I104" s="1046"/>
      <c r="J104" s="1046"/>
      <c r="K104" s="104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4">
        <f>S3_storage.100_EUR</f>
        <v>24.029999999999998</v>
      </c>
      <c r="E105" s="1054"/>
      <c r="F105" s="999"/>
      <c r="G105" s="999"/>
      <c r="H105" s="999"/>
      <c r="I105" s="999"/>
      <c r="J105" s="999"/>
      <c r="K105" s="999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5">
        <f>S3_storage.500_EUR</f>
        <v>17.8</v>
      </c>
      <c r="E106" s="1055"/>
      <c r="F106" s="1008"/>
      <c r="G106" s="1008"/>
      <c r="H106" s="1008"/>
      <c r="I106" s="1008"/>
      <c r="J106" s="1008"/>
      <c r="K106" s="1008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4">
        <f>S3_storage.1000_EUR</f>
        <v>16.465</v>
      </c>
      <c r="E107" s="1054"/>
      <c r="F107" s="999"/>
      <c r="G107" s="999"/>
      <c r="H107" s="999"/>
      <c r="I107" s="999"/>
      <c r="J107" s="999"/>
      <c r="K107" s="999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1000" t="str">
        <f>S3_storage.quote_EUR</f>
        <v>Request a quote</v>
      </c>
      <c r="E108" s="1000"/>
      <c r="F108" s="1009"/>
      <c r="G108" s="1009"/>
      <c r="H108" s="1009"/>
      <c r="I108" s="1009"/>
      <c r="J108" s="1009"/>
      <c r="K108" s="100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3" t="s">
        <v>76</v>
      </c>
      <c r="E111" s="1053"/>
      <c r="F111" s="1051"/>
      <c r="G111" s="1051"/>
      <c r="H111" s="266" t="s">
        <v>75</v>
      </c>
      <c r="I111" s="266"/>
      <c r="J111" s="1051"/>
      <c r="K111" s="1051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5">
        <f>S3_archive.50_EUR</f>
        <v>31.15</v>
      </c>
      <c r="E113" s="1045"/>
      <c r="F113" s="1046"/>
      <c r="G113" s="1046"/>
      <c r="H113" s="1046"/>
      <c r="I113" s="1046"/>
      <c r="J113" s="1046"/>
      <c r="K113" s="104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4">
        <f>S3_archive.100_EUR</f>
        <v>24.029999999999998</v>
      </c>
      <c r="E114" s="1054"/>
      <c r="F114" s="999"/>
      <c r="G114" s="999"/>
      <c r="H114" s="999"/>
      <c r="I114" s="999"/>
      <c r="J114" s="999"/>
      <c r="K114" s="999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5">
        <f>S3_archive.500_EUR</f>
        <v>17.8</v>
      </c>
      <c r="E115" s="1055"/>
      <c r="F115" s="1008"/>
      <c r="G115" s="1008"/>
      <c r="H115" s="1008"/>
      <c r="I115" s="1008"/>
      <c r="J115" s="1008"/>
      <c r="K115" s="1008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4">
        <f>S3_archive.1000_EUR</f>
        <v>16.465</v>
      </c>
      <c r="E116" s="1054"/>
      <c r="F116" s="999"/>
      <c r="G116" s="999"/>
      <c r="H116" s="999"/>
      <c r="I116" s="999"/>
      <c r="J116" s="999"/>
      <c r="K116" s="999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1000" t="str">
        <f>S3_archive.quote_EUR</f>
        <v>Request a quote</v>
      </c>
      <c r="E117" s="1000"/>
      <c r="F117" s="1009"/>
      <c r="G117" s="1009"/>
      <c r="H117" s="1009"/>
      <c r="I117" s="1009"/>
      <c r="J117" s="1009"/>
      <c r="K117" s="100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2" t="s">
        <v>86</v>
      </c>
      <c r="C122" s="1042"/>
      <c r="D122" s="1042"/>
      <c r="E122" s="1042"/>
      <c r="F122" s="1042"/>
      <c r="G122" s="1042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2"/>
      <c r="C123" s="1042"/>
      <c r="D123" s="1042"/>
      <c r="E123" s="1042"/>
      <c r="F123" s="1042"/>
      <c r="G123" s="1042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2"/>
      <c r="C124" s="1042"/>
      <c r="D124" s="1042"/>
      <c r="E124" s="1042"/>
      <c r="F124" s="1042"/>
      <c r="G124" s="1042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6" t="s">
        <v>87</v>
      </c>
      <c r="C125" s="1056"/>
      <c r="D125" s="1056"/>
      <c r="E125" s="1056"/>
      <c r="F125" s="105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3" t="s">
        <v>6</v>
      </c>
      <c r="C126" s="1043"/>
      <c r="D126" s="1043"/>
      <c r="E126" s="1043"/>
      <c r="F126" s="1043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1" t="s">
        <v>89</v>
      </c>
      <c r="G129" s="1051"/>
      <c r="H129" s="266" t="s">
        <v>90</v>
      </c>
      <c r="I129" s="265"/>
      <c r="J129" s="1026" t="s">
        <v>91</v>
      </c>
      <c r="K129" s="1026"/>
      <c r="L129" s="533"/>
      <c r="M129" s="575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0.21804999999999999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6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489.5</v>
      </c>
      <c r="E131" s="32"/>
      <c r="F131" s="1033">
        <f>BAAS_small_EUR</f>
        <v>0.15575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845.5</v>
      </c>
      <c r="E132" s="35"/>
      <c r="F132" s="1038">
        <f>BAAS_large_EUR</f>
        <v>8.1879999999999994E-2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4" t="s">
        <v>97</v>
      </c>
      <c r="C135" s="1044"/>
      <c r="D135" s="1044"/>
      <c r="E135" s="1044"/>
      <c r="F135" s="1044"/>
      <c r="G135" s="1044"/>
      <c r="H135" s="1044"/>
      <c r="I135" s="104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4" t="s">
        <v>98</v>
      </c>
      <c r="C136" s="1044"/>
      <c r="D136" s="1044"/>
      <c r="E136" s="1044"/>
      <c r="F136" s="1044"/>
      <c r="G136" s="1044"/>
      <c r="H136" s="1044"/>
      <c r="I136" s="104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4" t="s">
        <v>99</v>
      </c>
      <c r="C137" s="1044"/>
      <c r="D137" s="1044"/>
      <c r="E137" s="1044"/>
      <c r="F137" s="1044"/>
      <c r="G137" s="1044"/>
      <c r="H137" s="1044"/>
      <c r="I137" s="104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4" t="s">
        <v>410</v>
      </c>
      <c r="C138" s="1044"/>
      <c r="D138" s="1044"/>
      <c r="E138" s="1044"/>
      <c r="F138" s="1044"/>
      <c r="G138" s="1044"/>
      <c r="H138" s="1044"/>
      <c r="I138" s="104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2" t="s">
        <v>100</v>
      </c>
      <c r="C143" s="1042"/>
      <c r="D143" s="1042"/>
      <c r="E143" s="1042"/>
      <c r="F143" s="1042"/>
      <c r="G143" s="1042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2"/>
      <c r="C144" s="1042"/>
      <c r="D144" s="1042"/>
      <c r="E144" s="1042"/>
      <c r="F144" s="1042"/>
      <c r="G144" s="1042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2"/>
      <c r="C145" s="1042"/>
      <c r="D145" s="1042"/>
      <c r="E145" s="1042"/>
      <c r="F145" s="1042"/>
      <c r="G145" s="1042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3" t="s">
        <v>6</v>
      </c>
      <c r="C146" s="1043"/>
      <c r="D146" s="1043"/>
      <c r="E146" s="1043"/>
      <c r="F146" s="1043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7"/>
      <c r="C147" s="1027"/>
      <c r="D147" s="1027"/>
      <c r="E147" s="1027"/>
      <c r="F147" s="102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2" t="s">
        <v>14</v>
      </c>
      <c r="M150" s="101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2">
        <f>NET_publicv4_EUR</f>
        <v>2.2250000000000001</v>
      </c>
      <c r="M151" s="1022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3">
        <f>NET_publicv6_EUR</f>
        <v>0</v>
      </c>
      <c r="M152" s="1023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4">
        <f>NET_ingress_EUR</f>
        <v>0</v>
      </c>
      <c r="M153" s="1024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3">
        <f>NET_egress_EUR</f>
        <v>0</v>
      </c>
      <c r="M154" s="1023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2" t="str">
        <f>NET_mgn.slb_EUR</f>
        <v>Request a quote</v>
      </c>
      <c r="M155" s="1002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3">
        <f>NET_rdns_EUR</f>
        <v>0</v>
      </c>
      <c r="M156" s="1023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2">
        <f>NET_byoip_EUR</f>
        <v>0</v>
      </c>
      <c r="M157" s="1002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1"/>
      <c r="M158" s="1021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7"/>
      <c r="M159" s="1007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2" t="s">
        <v>14</v>
      </c>
      <c r="M160" s="101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2">
        <f>SW_win.ser.201X_EUR</f>
        <v>6.9419999999999993</v>
      </c>
      <c r="M161" s="1022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1">
        <f>SW_win.ser.201X_EUR</f>
        <v>6.9419999999999993</v>
      </c>
      <c r="M162" s="100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2">
        <f>SW_ms.sql.ser_EUR</f>
        <v>133.322</v>
      </c>
      <c r="M163" s="1002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0" t="str">
        <f>SW_stackn_EUR</f>
        <v>Request a quote</v>
      </c>
      <c r="M164" s="1020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6" t="str">
        <f>SW_nextcloud_EUR</f>
        <v>Request a quote</v>
      </c>
      <c r="M165" s="101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0" t="str">
        <f>SW_suse_EUR</f>
        <v>Request a quote</v>
      </c>
      <c r="M166" s="1020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6" t="str">
        <f>SW_cluster.control_EUR</f>
        <v>3x instance price</v>
      </c>
      <c r="M167" s="101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7">
        <f>SW_backup.ninja_EUR</f>
        <v>35.6</v>
      </c>
      <c r="M168" s="1017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5"/>
      <c r="M169" s="1005"/>
      <c r="O169" s="205"/>
      <c r="P169" s="190"/>
      <c r="R169" s="284"/>
      <c r="S169" s="189"/>
    </row>
    <row r="170" spans="2:22" ht="25" customHeight="1">
      <c r="B170" s="471"/>
      <c r="K170" s="334"/>
      <c r="L170" s="1018"/>
      <c r="M170" s="101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7"/>
      <c r="M171" s="1007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2" t="s">
        <v>14</v>
      </c>
      <c r="M172" s="101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3" t="str">
        <f>PAAS_man.kubernetes24_EUR</f>
        <v xml:space="preserve"> Requests for quotation </v>
      </c>
      <c r="M173" s="1013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4" t="str">
        <f>PAAS_man.kubernetes8_EUR</f>
        <v>Requests for quotation</v>
      </c>
      <c r="M174" s="1014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5" t="str">
        <f>PAAS_man.elasticsearch_EUR</f>
        <v>Requests for quotation</v>
      </c>
      <c r="M175" s="1015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4" t="str">
        <f>PAAS_man.redis_EUR</f>
        <v>Requests for quotation</v>
      </c>
      <c r="M176" s="1014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5" t="str">
        <f>PAAS_man.nats_EUR</f>
        <v>Requests for quotation</v>
      </c>
      <c r="M177" s="1015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9" t="str">
        <f>PAAS_man.mariadb_EUR</f>
        <v>Requests for quotation</v>
      </c>
      <c r="M178" s="101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5"/>
      <c r="M179" s="1005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0"/>
      <c r="M180" s="1010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1"/>
      <c r="M181" s="1011"/>
      <c r="N181" s="189"/>
      <c r="O181" s="205"/>
      <c r="P181" s="180"/>
      <c r="Q181" s="180"/>
    </row>
    <row r="182" spans="2:19" s="169" customFormat="1" ht="25" customHeight="1">
      <c r="B182" s="1042" t="s">
        <v>151</v>
      </c>
      <c r="C182" s="1042"/>
      <c r="D182" s="1042"/>
      <c r="E182" s="1042"/>
      <c r="F182" s="1042"/>
      <c r="G182" s="1042"/>
      <c r="H182" s="335"/>
      <c r="J182" s="178"/>
      <c r="L182" s="1060"/>
      <c r="M182" s="1060"/>
      <c r="N182" s="189"/>
      <c r="O182" s="205"/>
    </row>
    <row r="183" spans="2:19" s="169" customFormat="1" ht="25" customHeight="1">
      <c r="B183" s="1042"/>
      <c r="C183" s="1042"/>
      <c r="D183" s="1042"/>
      <c r="E183" s="1042"/>
      <c r="F183" s="1042"/>
      <c r="G183" s="1042"/>
      <c r="H183" s="335"/>
      <c r="J183" s="178"/>
      <c r="L183" s="1060"/>
      <c r="M183" s="1060"/>
      <c r="N183" s="189"/>
      <c r="O183" s="205"/>
    </row>
    <row r="184" spans="2:19" s="169" customFormat="1" ht="25" customHeight="1">
      <c r="B184" s="1042"/>
      <c r="C184" s="1042"/>
      <c r="D184" s="1042"/>
      <c r="E184" s="1042"/>
      <c r="F184" s="1042"/>
      <c r="G184" s="1042"/>
      <c r="H184" s="335"/>
      <c r="J184" s="178"/>
      <c r="L184" s="1060"/>
      <c r="M184" s="1060"/>
      <c r="N184" s="189"/>
      <c r="O184" s="205"/>
    </row>
    <row r="185" spans="2:19" s="169" customFormat="1" ht="25" customHeight="1">
      <c r="B185" s="1043" t="s">
        <v>6</v>
      </c>
      <c r="C185" s="1043"/>
      <c r="D185" s="1043"/>
      <c r="E185" s="1043"/>
      <c r="F185" s="1043"/>
      <c r="H185" s="335"/>
      <c r="J185" s="178"/>
      <c r="L185" s="1060"/>
      <c r="M185" s="1060"/>
      <c r="N185" s="189"/>
      <c r="O185" s="205"/>
    </row>
    <row r="186" spans="2:19" s="169" customFormat="1" ht="25" customHeight="1">
      <c r="B186" s="1027"/>
      <c r="C186" s="1027"/>
      <c r="D186" s="1027"/>
      <c r="E186" s="1027"/>
      <c r="F186" s="1027"/>
      <c r="G186" s="182"/>
      <c r="H186" s="183"/>
      <c r="I186" s="182"/>
      <c r="J186" s="184"/>
      <c r="K186" s="182"/>
      <c r="L186" s="1061"/>
      <c r="M186" s="106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1"/>
      <c r="M187" s="106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2"/>
      <c r="M188" s="106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2" t="s">
        <v>14</v>
      </c>
      <c r="M189" s="101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3">
        <v>0</v>
      </c>
      <c r="M190" s="106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5"/>
      <c r="M193" s="1005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6"/>
      <c r="M194" s="1006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7"/>
      <c r="M195" s="1007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2" t="s">
        <v>14</v>
      </c>
      <c r="M196" s="101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2">
        <f>PS_consult.jun_EUR</f>
        <v>100.303</v>
      </c>
      <c r="M197" s="1022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1">
        <f>PS_consult.sen_EUR</f>
        <v>122.28599999999999</v>
      </c>
      <c r="M198" s="100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2">
        <f>PS_cloudarch.jun_EUR</f>
        <v>113.65299999999999</v>
      </c>
      <c r="M199" s="1002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1">
        <f>PS_cloudarch.sen_EUR</f>
        <v>122.28599999999999</v>
      </c>
      <c r="M200" s="100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2">
        <f>PS_pm.jun_EUR</f>
        <v>101.371</v>
      </c>
      <c r="M201" s="1002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7">
        <f>PS_pm.sen_EUR</f>
        <v>122.28599999999999</v>
      </c>
      <c r="M202" s="1017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5"/>
      <c r="M203" s="1005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6"/>
      <c r="M204" s="1006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7"/>
      <c r="M205" s="1007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2" t="s">
        <v>179</v>
      </c>
      <c r="M206" s="101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3" t="s">
        <v>162</v>
      </c>
      <c r="M207" s="106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4" t="s">
        <v>162</v>
      </c>
      <c r="M208" s="106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5" t="s">
        <v>162</v>
      </c>
      <c r="M209" s="106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6" t="s">
        <v>162</v>
      </c>
      <c r="M210" s="106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7" t="s">
        <v>191</v>
      </c>
      <c r="C217" s="1057"/>
      <c r="D217" s="1057"/>
      <c r="E217" s="1057"/>
      <c r="F217" s="1057"/>
      <c r="G217" s="105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7"/>
      <c r="C218" s="1057"/>
      <c r="D218" s="1057"/>
      <c r="E218" s="1057"/>
      <c r="F218" s="1057"/>
      <c r="G218" s="105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7"/>
      <c r="C219" s="1057"/>
      <c r="D219" s="1057"/>
      <c r="E219" s="1057"/>
      <c r="F219" s="1057"/>
      <c r="G219" s="105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8" t="s">
        <v>6</v>
      </c>
      <c r="C220" s="1058"/>
      <c r="D220" s="1058"/>
      <c r="E220" s="1058"/>
      <c r="F220" s="105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9" t="str">
        <f>SUM(E67)&amp;" GB NVME-Disk"</f>
        <v>0 GB NVME-Disk</v>
      </c>
      <c r="G227" s="105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4" operator="lessThan">
      <formula>$J81</formula>
    </cfRule>
    <cfRule type="cellIs" dxfId="46" priority="42" operator="greaterThan">
      <formula>0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672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7" t="s">
        <v>617</v>
      </c>
      <c r="C15" s="977"/>
      <c r="D15" s="977"/>
      <c r="E15" s="977"/>
      <c r="F15" s="977"/>
      <c r="G15" s="977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7"/>
      <c r="C16" s="977"/>
      <c r="D16" s="977"/>
      <c r="E16" s="977"/>
      <c r="F16" s="977"/>
      <c r="G16" s="977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7"/>
      <c r="C17" s="977"/>
      <c r="D17" s="977"/>
      <c r="E17" s="977"/>
      <c r="F17" s="977"/>
      <c r="G17" s="977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9" t="s">
        <v>562</v>
      </c>
      <c r="C19" s="979"/>
      <c r="D19" s="979"/>
      <c r="E19" s="979"/>
      <c r="F19" s="979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8" t="s">
        <v>665</v>
      </c>
      <c r="C24" s="998"/>
      <c r="D24" s="998"/>
      <c r="E24" s="99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662</v>
      </c>
      <c r="C44" s="650"/>
      <c r="D44" s="650"/>
      <c r="K44" s="842"/>
      <c r="M44" s="664"/>
    </row>
    <row r="45" spans="2:18" ht="25" customHeight="1">
      <c r="B45" s="998" t="s">
        <v>664</v>
      </c>
      <c r="C45" s="998"/>
      <c r="D45" s="998"/>
      <c r="E45" s="99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440</v>
      </c>
      <c r="F46" s="131" t="s">
        <v>267</v>
      </c>
      <c r="G46" s="131" t="s">
        <v>565</v>
      </c>
      <c r="H46" s="686"/>
      <c r="I46" s="687" t="s">
        <v>567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3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4" t="s">
        <v>604</v>
      </c>
      <c r="C60" s="984"/>
      <c r="D60" s="984"/>
      <c r="E60" s="984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4" t="s">
        <v>604</v>
      </c>
      <c r="C70" s="984"/>
      <c r="D70" s="984"/>
      <c r="E70" s="984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564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563</v>
      </c>
      <c r="M79" s="664"/>
    </row>
    <row r="80" spans="2:20" s="729" customFormat="1" ht="25" customHeight="1">
      <c r="B80" s="444" t="s">
        <v>208</v>
      </c>
      <c r="C80" s="24" t="s">
        <v>275</v>
      </c>
      <c r="D80" s="24"/>
      <c r="E80" s="24"/>
      <c r="F80" s="132" t="s">
        <v>210</v>
      </c>
      <c r="G80" s="131" t="s">
        <v>429</v>
      </c>
      <c r="H80" s="24"/>
      <c r="I80" s="728" t="s">
        <v>566</v>
      </c>
      <c r="J80" s="24"/>
      <c r="K80" s="612" t="s">
        <v>568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7" t="s">
        <v>618</v>
      </c>
      <c r="C87" s="977"/>
      <c r="D87" s="977"/>
      <c r="E87" s="977"/>
      <c r="F87" s="977"/>
      <c r="G87" s="977"/>
      <c r="H87" s="672"/>
      <c r="J87" s="674"/>
      <c r="K87" s="833"/>
      <c r="M87" s="664"/>
    </row>
    <row r="88" spans="2:26" s="4" customFormat="1" ht="25" customHeight="1">
      <c r="B88" s="977"/>
      <c r="C88" s="977"/>
      <c r="D88" s="977"/>
      <c r="E88" s="977"/>
      <c r="F88" s="977"/>
      <c r="G88" s="977"/>
      <c r="H88" s="672"/>
      <c r="J88" s="674"/>
      <c r="K88" s="833"/>
      <c r="M88" s="664"/>
    </row>
    <row r="89" spans="2:26" s="4" customFormat="1" ht="25" customHeight="1">
      <c r="B89" s="977"/>
      <c r="C89" s="977"/>
      <c r="D89" s="977"/>
      <c r="E89" s="977"/>
      <c r="F89" s="977"/>
      <c r="G89" s="977"/>
      <c r="H89" s="672"/>
      <c r="J89" s="674"/>
      <c r="K89" s="833"/>
      <c r="M89" s="664"/>
    </row>
    <row r="90" spans="2:26" s="4" customFormat="1" ht="25" customHeight="1">
      <c r="B90" s="549" t="s">
        <v>600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626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392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569</v>
      </c>
      <c r="H94" s="24"/>
      <c r="I94" s="728" t="s">
        <v>570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497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462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1" t="s">
        <v>225</v>
      </c>
      <c r="E100" s="981"/>
      <c r="F100" s="981"/>
      <c r="G100" s="981"/>
      <c r="H100" s="981"/>
      <c r="I100" s="981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80">
        <f>S3_archive.50_SEK</f>
        <v>350</v>
      </c>
      <c r="E102" s="980"/>
      <c r="F102" s="980"/>
      <c r="G102" s="980"/>
      <c r="H102" s="980"/>
      <c r="I102" s="980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5">
        <f>S3_archive.100_SEK</f>
        <v>270</v>
      </c>
      <c r="E103" s="985"/>
      <c r="F103" s="985"/>
      <c r="G103" s="985"/>
      <c r="H103" s="985"/>
      <c r="I103" s="985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7">
        <f>S3_archive.500_SEK</f>
        <v>200</v>
      </c>
      <c r="E104" s="987"/>
      <c r="F104" s="987"/>
      <c r="G104" s="987"/>
      <c r="H104" s="987"/>
      <c r="I104" s="987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5">
        <f>S3_archive.1000_SEK</f>
        <v>185</v>
      </c>
      <c r="E105" s="985"/>
      <c r="F105" s="985"/>
      <c r="G105" s="985"/>
      <c r="H105" s="985"/>
      <c r="I105" s="985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6" t="str">
        <f>S3_archive.quote_SEK</f>
        <v>Be om offert</v>
      </c>
      <c r="E106" s="986"/>
      <c r="F106" s="986"/>
      <c r="G106" s="986"/>
      <c r="H106" s="986"/>
      <c r="I106" s="986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7" t="s">
        <v>619</v>
      </c>
      <c r="C110" s="977"/>
      <c r="D110" s="977"/>
      <c r="E110" s="977"/>
      <c r="F110" s="977"/>
      <c r="G110" s="977"/>
      <c r="H110" s="672"/>
      <c r="J110" s="674"/>
      <c r="K110" s="833"/>
      <c r="L110" s="674"/>
      <c r="M110" s="664"/>
    </row>
    <row r="111" spans="2:19" s="4" customFormat="1" ht="25" customHeight="1">
      <c r="B111" s="977"/>
      <c r="C111" s="977"/>
      <c r="D111" s="977"/>
      <c r="E111" s="977"/>
      <c r="F111" s="977"/>
      <c r="G111" s="977"/>
      <c r="H111" s="672"/>
      <c r="J111" s="674"/>
      <c r="K111" s="833"/>
      <c r="L111" s="674"/>
      <c r="M111" s="664"/>
    </row>
    <row r="112" spans="2:19" s="4" customFormat="1" ht="25" customHeight="1">
      <c r="B112" s="977"/>
      <c r="C112" s="977"/>
      <c r="D112" s="977"/>
      <c r="E112" s="977"/>
      <c r="F112" s="977"/>
      <c r="G112" s="977"/>
      <c r="H112" s="672"/>
      <c r="J112" s="674"/>
      <c r="K112" s="833"/>
      <c r="L112" s="674"/>
      <c r="M112" s="664"/>
    </row>
    <row r="113" spans="2:32" s="4" customFormat="1" ht="25" customHeight="1">
      <c r="B113" s="549" t="s">
        <v>571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79" t="s">
        <v>562</v>
      </c>
      <c r="C114" s="979"/>
      <c r="D114" s="979"/>
      <c r="E114" s="979"/>
      <c r="F114" s="979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392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285</v>
      </c>
      <c r="F117" s="769"/>
      <c r="G117" s="24" t="s">
        <v>573</v>
      </c>
      <c r="H117" s="24"/>
      <c r="I117" s="728" t="s">
        <v>566</v>
      </c>
      <c r="J117" s="728" t="s">
        <v>574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7" t="s">
        <v>434</v>
      </c>
      <c r="C125" s="977"/>
      <c r="D125" s="977"/>
      <c r="E125" s="977"/>
      <c r="F125" s="977"/>
      <c r="G125" s="977"/>
      <c r="H125" s="672"/>
      <c r="J125" s="674"/>
      <c r="K125" s="833"/>
      <c r="L125" s="674"/>
      <c r="M125" s="664"/>
    </row>
    <row r="126" spans="2:32" s="4" customFormat="1" ht="25" hidden="1" customHeight="1">
      <c r="B126" s="977"/>
      <c r="C126" s="977"/>
      <c r="D126" s="977"/>
      <c r="E126" s="977"/>
      <c r="F126" s="977"/>
      <c r="G126" s="977"/>
      <c r="H126" s="672"/>
      <c r="J126" s="674"/>
      <c r="K126" s="833"/>
      <c r="L126" s="674"/>
      <c r="M126" s="664"/>
    </row>
    <row r="127" spans="2:32" s="4" customFormat="1" ht="25" hidden="1" customHeight="1">
      <c r="B127" s="977"/>
      <c r="C127" s="977"/>
      <c r="D127" s="977"/>
      <c r="E127" s="977"/>
      <c r="F127" s="977"/>
      <c r="G127" s="977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579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79" t="s">
        <v>613</v>
      </c>
      <c r="C129" s="979"/>
      <c r="D129" s="979"/>
      <c r="E129" s="979"/>
      <c r="F129" s="979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602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8" t="s">
        <v>580</v>
      </c>
      <c r="D132" s="988"/>
      <c r="E132" s="988" t="s">
        <v>581</v>
      </c>
      <c r="F132" s="988"/>
      <c r="G132" s="988" t="s">
        <v>285</v>
      </c>
      <c r="H132" s="988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3" t="s">
        <v>533</v>
      </c>
      <c r="D133" s="993"/>
      <c r="E133" s="995" t="s">
        <v>601</v>
      </c>
      <c r="F133" s="995"/>
      <c r="G133" s="989">
        <v>15000</v>
      </c>
      <c r="H133" s="990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4" t="s">
        <v>582</v>
      </c>
      <c r="D134" s="994"/>
      <c r="E134" s="996" t="s">
        <v>583</v>
      </c>
      <c r="F134" s="996"/>
      <c r="G134" s="991">
        <v>24000</v>
      </c>
      <c r="H134" s="992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7" t="s">
        <v>291</v>
      </c>
      <c r="C139" s="977"/>
      <c r="D139" s="977"/>
      <c r="E139" s="977"/>
      <c r="F139" s="977"/>
      <c r="G139" s="977"/>
      <c r="H139" s="672"/>
      <c r="J139" s="674"/>
      <c r="K139" s="833"/>
      <c r="M139" s="664"/>
    </row>
    <row r="140" spans="2:32" s="4" customFormat="1" ht="25" customHeight="1">
      <c r="B140" s="977"/>
      <c r="C140" s="977"/>
      <c r="D140" s="977"/>
      <c r="E140" s="977"/>
      <c r="F140" s="977"/>
      <c r="G140" s="977"/>
      <c r="H140" s="672"/>
      <c r="J140" s="674"/>
      <c r="K140" s="833"/>
      <c r="M140" s="664"/>
    </row>
    <row r="141" spans="2:32" s="4" customFormat="1" ht="25" customHeight="1">
      <c r="B141" s="977"/>
      <c r="C141" s="977"/>
      <c r="D141" s="977"/>
      <c r="E141" s="977"/>
      <c r="F141" s="977"/>
      <c r="G141" s="977"/>
      <c r="H141" s="672"/>
      <c r="J141" s="674"/>
      <c r="K141" s="833"/>
      <c r="M141" s="664"/>
    </row>
    <row r="142" spans="2:32" s="4" customFormat="1" ht="25" customHeight="1">
      <c r="B142" s="979" t="s">
        <v>562</v>
      </c>
      <c r="C142" s="979"/>
      <c r="D142" s="979"/>
      <c r="E142" s="979"/>
      <c r="F142" s="979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67"/>
      <c r="C143" s="1067"/>
      <c r="D143" s="1067"/>
      <c r="E143" s="1067"/>
      <c r="F143" s="1067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292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584</v>
      </c>
      <c r="M146" s="664"/>
    </row>
    <row r="147" spans="2:19" ht="25" customHeight="1">
      <c r="B147" s="470" t="s">
        <v>208</v>
      </c>
      <c r="C147" s="23" t="s">
        <v>585</v>
      </c>
      <c r="D147" s="23"/>
      <c r="E147" s="24" t="s">
        <v>275</v>
      </c>
      <c r="F147" s="24"/>
      <c r="G147" s="24"/>
      <c r="H147" s="24"/>
      <c r="I147" s="24"/>
      <c r="J147" s="23" t="s">
        <v>587</v>
      </c>
      <c r="K147" s="612" t="s">
        <v>268</v>
      </c>
      <c r="L147" s="13"/>
      <c r="M147" s="664"/>
      <c r="N147" s="742"/>
      <c r="O147" s="8"/>
    </row>
    <row r="148" spans="2:19" ht="25" customHeight="1">
      <c r="B148" s="134" t="s">
        <v>468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469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470</v>
      </c>
      <c r="C150" s="129" t="s">
        <v>295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471</v>
      </c>
      <c r="C151" s="130" t="s">
        <v>295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472</v>
      </c>
      <c r="C152" s="129" t="s">
        <v>115</v>
      </c>
      <c r="D152" s="129"/>
      <c r="E152" s="30" t="s">
        <v>586</v>
      </c>
      <c r="F152" s="37"/>
      <c r="G152" s="37"/>
      <c r="H152" s="37"/>
      <c r="I152" s="37"/>
      <c r="J152" s="770" t="s">
        <v>239</v>
      </c>
      <c r="K152" s="555" t="s">
        <v>588</v>
      </c>
      <c r="M152" s="664"/>
    </row>
    <row r="153" spans="2:19" ht="25" customHeight="1">
      <c r="B153" s="137" t="s">
        <v>473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474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297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589</v>
      </c>
      <c r="M159" s="664"/>
    </row>
    <row r="160" spans="2:19" ht="25" customHeight="1">
      <c r="B160" s="470" t="s">
        <v>208</v>
      </c>
      <c r="C160" s="23"/>
      <c r="D160" s="23"/>
      <c r="E160" s="24" t="s">
        <v>275</v>
      </c>
      <c r="F160" s="24"/>
      <c r="G160" s="24"/>
      <c r="H160" s="24"/>
      <c r="I160" s="24"/>
      <c r="J160" s="23" t="s">
        <v>587</v>
      </c>
      <c r="K160" s="612" t="s">
        <v>268</v>
      </c>
      <c r="M160" s="664"/>
      <c r="N160" s="742"/>
      <c r="O160" s="8"/>
    </row>
    <row r="161" spans="2:18" ht="25" customHeight="1">
      <c r="B161" s="134" t="s">
        <v>475</v>
      </c>
      <c r="C161" s="129"/>
      <c r="D161" s="30"/>
      <c r="E161" s="30" t="s">
        <v>123</v>
      </c>
      <c r="F161" s="30"/>
      <c r="G161" s="30"/>
      <c r="H161" s="30"/>
      <c r="I161" s="30"/>
      <c r="J161" s="770" t="s">
        <v>10</v>
      </c>
      <c r="K161" s="828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476</v>
      </c>
      <c r="C162" s="130"/>
      <c r="D162" s="38"/>
      <c r="E162" s="38" t="s">
        <v>125</v>
      </c>
      <c r="F162" s="771"/>
      <c r="G162" s="771"/>
      <c r="H162" s="771"/>
      <c r="I162" s="771"/>
      <c r="J162" s="773" t="s">
        <v>10</v>
      </c>
      <c r="K162" s="829">
        <f>SW_win.ser.201X_SEK</f>
        <v>78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614</v>
      </c>
      <c r="C163" s="129"/>
      <c r="D163" s="30"/>
      <c r="E163" s="30" t="s">
        <v>615</v>
      </c>
      <c r="F163" s="30"/>
      <c r="G163" s="30"/>
      <c r="H163" s="30"/>
      <c r="I163" s="30"/>
      <c r="J163" s="770" t="s">
        <v>10</v>
      </c>
      <c r="K163" s="828">
        <f>SW_win.ser.201X_SEK</f>
        <v>78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477</v>
      </c>
      <c r="C164" s="130"/>
      <c r="D164" s="38"/>
      <c r="E164" s="38" t="s">
        <v>409</v>
      </c>
      <c r="F164" s="771"/>
      <c r="G164" s="771"/>
      <c r="H164" s="771"/>
      <c r="I164" s="771"/>
      <c r="J164" s="773" t="s">
        <v>10</v>
      </c>
      <c r="K164" s="829">
        <f>SW_ms.sql.ser_SEK</f>
        <v>1498</v>
      </c>
      <c r="M164" s="664"/>
      <c r="N164" s="742"/>
      <c r="O164" s="8"/>
    </row>
    <row r="165" spans="2:18" ht="25" customHeight="1">
      <c r="B165" s="134" t="s">
        <v>478</v>
      </c>
      <c r="C165" s="129"/>
      <c r="D165" s="30"/>
      <c r="E165" s="30" t="s">
        <v>131</v>
      </c>
      <c r="F165" s="30"/>
      <c r="G165" s="30"/>
      <c r="H165" s="30"/>
      <c r="I165" s="30"/>
      <c r="J165" s="770" t="s">
        <v>94</v>
      </c>
      <c r="K165" s="828" t="s">
        <v>588</v>
      </c>
      <c r="L165" s="740"/>
      <c r="M165" s="664"/>
      <c r="N165" s="742"/>
      <c r="O165" s="8"/>
      <c r="Q165" s="675"/>
      <c r="R165" s="675"/>
    </row>
    <row r="166" spans="2:18" s="4" customFormat="1" ht="25" customHeight="1">
      <c r="B166" s="137" t="s">
        <v>479</v>
      </c>
      <c r="C166" s="130"/>
      <c r="D166" s="38"/>
      <c r="E166" s="38" t="s">
        <v>133</v>
      </c>
      <c r="F166" s="771"/>
      <c r="G166" s="771"/>
      <c r="H166" s="771"/>
      <c r="I166" s="771"/>
      <c r="J166" s="773" t="s">
        <v>94</v>
      </c>
      <c r="K166" s="829" t="s">
        <v>588</v>
      </c>
      <c r="M166" s="664"/>
      <c r="N166" s="742"/>
      <c r="O166" s="8"/>
    </row>
    <row r="167" spans="2:18" ht="25" customHeight="1">
      <c r="B167" s="106"/>
      <c r="C167" s="103"/>
      <c r="D167" s="104"/>
      <c r="E167" s="105"/>
      <c r="F167" s="777"/>
      <c r="G167" s="777"/>
      <c r="H167" s="777"/>
      <c r="I167" s="777"/>
      <c r="J167" s="778"/>
      <c r="K167" s="857"/>
      <c r="M167" s="664"/>
      <c r="N167" s="742"/>
      <c r="O167" s="8"/>
    </row>
    <row r="168" spans="2:18" ht="25" customHeight="1">
      <c r="B168" s="137"/>
      <c r="C168" s="130"/>
      <c r="D168" s="41"/>
      <c r="E168" s="31"/>
      <c r="F168" s="771"/>
      <c r="G168" s="771"/>
      <c r="H168" s="771"/>
      <c r="I168" s="771"/>
      <c r="J168" s="779"/>
      <c r="K168" s="554"/>
      <c r="M168" s="664"/>
      <c r="N168" s="742"/>
      <c r="O168" s="8"/>
    </row>
    <row r="169" spans="2:18" ht="25" customHeight="1">
      <c r="M169" s="664"/>
      <c r="N169" s="742"/>
      <c r="O169" s="8"/>
    </row>
    <row r="170" spans="2:18" ht="25" customHeight="1">
      <c r="B170" s="649" t="s">
        <v>590</v>
      </c>
      <c r="C170" s="13"/>
      <c r="D170" s="13"/>
      <c r="F170" s="13"/>
      <c r="G170" s="13"/>
      <c r="H170" s="13"/>
      <c r="I170" s="13"/>
      <c r="J170" s="13"/>
      <c r="M170" s="664"/>
      <c r="N170" s="742"/>
      <c r="O170" s="8"/>
    </row>
    <row r="171" spans="2:18" ht="25" customHeight="1">
      <c r="B171" s="628" t="s">
        <v>591</v>
      </c>
      <c r="M171" s="664"/>
    </row>
    <row r="172" spans="2:18" ht="25" customHeight="1">
      <c r="B172" s="470" t="s">
        <v>208</v>
      </c>
      <c r="C172" s="23"/>
      <c r="D172" s="23"/>
      <c r="E172" s="24" t="s">
        <v>275</v>
      </c>
      <c r="F172" s="24"/>
      <c r="G172" s="24"/>
      <c r="H172" s="24"/>
      <c r="I172" s="24"/>
      <c r="J172" s="131"/>
      <c r="K172" s="612" t="s">
        <v>268</v>
      </c>
      <c r="M172" s="664"/>
      <c r="N172" s="742"/>
      <c r="O172" s="8"/>
    </row>
    <row r="173" spans="2:18" ht="25" customHeight="1">
      <c r="B173" s="134" t="s">
        <v>467</v>
      </c>
      <c r="C173" s="129"/>
      <c r="D173" s="30"/>
      <c r="E173" s="30" t="s">
        <v>406</v>
      </c>
      <c r="F173" s="30"/>
      <c r="G173" s="30"/>
      <c r="H173" s="30"/>
      <c r="I173" s="30"/>
      <c r="J173" s="40"/>
      <c r="K173" s="868" t="s">
        <v>588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407</v>
      </c>
      <c r="F174" s="771"/>
      <c r="G174" s="771"/>
      <c r="H174" s="771"/>
      <c r="I174" s="771"/>
      <c r="J174" s="779"/>
      <c r="K174" s="867" t="s">
        <v>588</v>
      </c>
      <c r="M174" s="664"/>
      <c r="N174" s="742"/>
      <c r="O174" s="8"/>
    </row>
    <row r="175" spans="2:18" ht="25" customHeight="1">
      <c r="B175" s="134" t="s">
        <v>481</v>
      </c>
      <c r="C175" s="129"/>
      <c r="D175" s="30"/>
      <c r="E175" s="30" t="s">
        <v>408</v>
      </c>
      <c r="F175" s="30"/>
      <c r="G175" s="30"/>
      <c r="H175" s="30"/>
      <c r="I175" s="30"/>
      <c r="J175" s="40"/>
      <c r="K175" s="629" t="s">
        <v>588</v>
      </c>
      <c r="M175" s="664"/>
      <c r="N175" s="742"/>
      <c r="O175" s="8"/>
    </row>
    <row r="176" spans="2:18" ht="25" customHeight="1">
      <c r="B176" s="137" t="s">
        <v>482</v>
      </c>
      <c r="C176" s="130"/>
      <c r="D176" s="38"/>
      <c r="E176" s="38" t="s">
        <v>428</v>
      </c>
      <c r="F176" s="771"/>
      <c r="G176" s="771"/>
      <c r="H176" s="771"/>
      <c r="I176" s="771"/>
      <c r="J176" s="779"/>
      <c r="K176" s="867" t="s">
        <v>588</v>
      </c>
      <c r="M176" s="664"/>
      <c r="N176" s="742"/>
      <c r="O176" s="8"/>
    </row>
    <row r="177" spans="2:20" ht="25" customHeight="1">
      <c r="B177" s="134" t="s">
        <v>668</v>
      </c>
      <c r="C177" s="129"/>
      <c r="D177" s="30"/>
      <c r="E177" s="30" t="s">
        <v>667</v>
      </c>
      <c r="F177" s="30"/>
      <c r="G177" s="30"/>
      <c r="H177" s="30"/>
      <c r="I177" s="30"/>
      <c r="J177" s="40"/>
      <c r="K177" s="629">
        <v>5650</v>
      </c>
      <c r="M177" s="664"/>
      <c r="N177" s="742"/>
      <c r="O177" s="8"/>
    </row>
    <row r="178" spans="2:20" ht="25" customHeight="1">
      <c r="B178" s="137" t="s">
        <v>483</v>
      </c>
      <c r="C178" s="130"/>
      <c r="D178" s="38"/>
      <c r="E178" s="38" t="s">
        <v>147</v>
      </c>
      <c r="F178" s="771"/>
      <c r="G178" s="771"/>
      <c r="H178" s="771"/>
      <c r="I178" s="771"/>
      <c r="J178" s="779"/>
      <c r="K178" s="867" t="s">
        <v>588</v>
      </c>
      <c r="M178" s="664"/>
      <c r="N178" s="742"/>
      <c r="O178" s="8"/>
    </row>
    <row r="179" spans="2:20" ht="25" customHeight="1">
      <c r="B179" s="134" t="s">
        <v>484</v>
      </c>
      <c r="C179" s="129"/>
      <c r="D179" s="30"/>
      <c r="E179" s="30" t="s">
        <v>150</v>
      </c>
      <c r="F179" s="30"/>
      <c r="G179" s="30"/>
      <c r="H179" s="30"/>
      <c r="I179" s="30"/>
      <c r="J179" s="40"/>
      <c r="K179" s="629" t="s">
        <v>588</v>
      </c>
      <c r="M179" s="664"/>
      <c r="N179" s="742"/>
      <c r="O179" s="8"/>
    </row>
    <row r="180" spans="2:20" ht="25" customHeight="1">
      <c r="B180" s="137" t="s">
        <v>442</v>
      </c>
      <c r="C180" s="130"/>
      <c r="D180" s="38"/>
      <c r="E180" s="38" t="s">
        <v>144</v>
      </c>
      <c r="F180" s="771"/>
      <c r="G180" s="771"/>
      <c r="H180" s="771"/>
      <c r="I180" s="771"/>
      <c r="J180" s="779"/>
      <c r="K180" s="867" t="s">
        <v>588</v>
      </c>
      <c r="M180" s="664"/>
      <c r="N180" s="742"/>
      <c r="O180" s="8"/>
    </row>
    <row r="181" spans="2:20" ht="25" customHeight="1">
      <c r="B181" s="106"/>
      <c r="C181" s="103"/>
      <c r="D181" s="397"/>
      <c r="E181" s="105"/>
      <c r="F181" s="777"/>
      <c r="G181" s="777"/>
      <c r="H181" s="777"/>
      <c r="I181" s="777"/>
      <c r="J181" s="778"/>
      <c r="K181" s="857"/>
      <c r="M181" s="664"/>
      <c r="N181" s="742"/>
      <c r="O181" s="8"/>
    </row>
    <row r="182" spans="2:20" ht="25" customHeight="1">
      <c r="B182" s="137"/>
      <c r="C182" s="130"/>
      <c r="D182" s="38"/>
      <c r="E182" s="31"/>
      <c r="F182" s="771"/>
      <c r="G182" s="779"/>
      <c r="H182" s="773"/>
      <c r="I182" s="441"/>
      <c r="M182" s="664"/>
    </row>
    <row r="183" spans="2:20" ht="25" customHeight="1">
      <c r="B183" s="417"/>
      <c r="C183" s="26"/>
      <c r="D183" s="26"/>
      <c r="E183" s="26"/>
      <c r="F183" s="760"/>
      <c r="G183" s="761"/>
      <c r="H183" s="26"/>
      <c r="I183" s="740"/>
      <c r="J183" s="740"/>
      <c r="K183" s="846"/>
      <c r="L183" s="742"/>
      <c r="M183" s="664"/>
      <c r="N183" s="675"/>
      <c r="O183" s="675"/>
    </row>
    <row r="184" spans="2:20" s="4" customFormat="1" ht="25" customHeight="1">
      <c r="B184" s="977" t="s">
        <v>299</v>
      </c>
      <c r="C184" s="977"/>
      <c r="D184" s="977"/>
      <c r="E184" s="977"/>
      <c r="F184" s="977"/>
      <c r="G184" s="977"/>
      <c r="H184" s="780"/>
      <c r="J184" s="674"/>
      <c r="K184" s="833"/>
      <c r="M184" s="664"/>
    </row>
    <row r="185" spans="2:20" s="4" customFormat="1" ht="25" customHeight="1">
      <c r="B185" s="977"/>
      <c r="C185" s="977"/>
      <c r="D185" s="977"/>
      <c r="E185" s="977"/>
      <c r="F185" s="977"/>
      <c r="G185" s="977"/>
      <c r="H185" s="780"/>
      <c r="J185" s="674"/>
      <c r="K185" s="833"/>
      <c r="M185" s="664"/>
    </row>
    <row r="186" spans="2:20" s="4" customFormat="1" ht="25" customHeight="1">
      <c r="B186" s="977"/>
      <c r="C186" s="977"/>
      <c r="D186" s="977"/>
      <c r="E186" s="977"/>
      <c r="F186" s="977"/>
      <c r="G186" s="977"/>
      <c r="H186" s="780"/>
      <c r="J186" s="674"/>
      <c r="K186" s="833"/>
      <c r="M186" s="664"/>
    </row>
    <row r="187" spans="2:20" s="4" customFormat="1" ht="25" customHeight="1">
      <c r="B187" s="978" t="s">
        <v>592</v>
      </c>
      <c r="C187" s="978"/>
      <c r="D187" s="978"/>
      <c r="E187" s="978"/>
      <c r="F187" s="978"/>
      <c r="H187" s="780"/>
      <c r="J187" s="674"/>
      <c r="K187" s="833"/>
      <c r="M187" s="664"/>
    </row>
    <row r="188" spans="2:20" s="4" customFormat="1" ht="25" customHeight="1">
      <c r="B188" s="979" t="s">
        <v>412</v>
      </c>
      <c r="C188" s="979"/>
      <c r="D188" s="979"/>
      <c r="E188" s="979"/>
      <c r="F188" s="979"/>
      <c r="G188" s="677"/>
      <c r="H188" s="678"/>
      <c r="I188" s="677"/>
      <c r="J188" s="679"/>
      <c r="K188" s="834"/>
      <c r="L188" s="677"/>
      <c r="M188" s="664"/>
    </row>
    <row r="189" spans="2:20" s="4" customFormat="1" ht="25" customHeight="1">
      <c r="B189" s="465"/>
      <c r="C189" s="133"/>
      <c r="D189" s="133"/>
      <c r="E189" s="133"/>
      <c r="F189" s="133"/>
      <c r="G189" s="677"/>
      <c r="H189" s="678"/>
      <c r="I189" s="677"/>
      <c r="J189" s="679"/>
      <c r="K189" s="834"/>
      <c r="L189" s="677"/>
      <c r="M189" s="664"/>
    </row>
    <row r="190" spans="2:20" ht="25" customHeight="1">
      <c r="B190" s="649" t="s">
        <v>152</v>
      </c>
      <c r="C190" s="13"/>
      <c r="D190" s="13"/>
      <c r="F190" s="13"/>
      <c r="G190" s="13"/>
      <c r="H190" s="13"/>
      <c r="I190" s="13"/>
      <c r="J190" s="13"/>
      <c r="K190" s="858"/>
      <c r="L190" s="13"/>
      <c r="M190" s="664"/>
      <c r="O190" s="742"/>
      <c r="P190" s="742"/>
      <c r="Q190" s="8"/>
      <c r="S190" s="675"/>
      <c r="T190" s="675"/>
    </row>
    <row r="191" spans="2:20" ht="25" customHeight="1">
      <c r="B191" s="628" t="s">
        <v>593</v>
      </c>
      <c r="M191" s="664"/>
    </row>
    <row r="192" spans="2:20" ht="25" customHeight="1">
      <c r="B192" s="470" t="s">
        <v>208</v>
      </c>
      <c r="C192" s="23"/>
      <c r="D192" s="24" t="s">
        <v>275</v>
      </c>
      <c r="E192" s="132"/>
      <c r="F192" s="24"/>
      <c r="G192" s="131"/>
      <c r="H192" s="131"/>
      <c r="I192" s="23" t="s">
        <v>587</v>
      </c>
      <c r="J192" s="23"/>
      <c r="K192" s="612" t="s">
        <v>92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413</v>
      </c>
      <c r="E193" s="40"/>
      <c r="F193" s="30"/>
      <c r="G193" s="40"/>
      <c r="H193" s="40"/>
      <c r="I193" s="775" t="s">
        <v>94</v>
      </c>
      <c r="J193" s="775"/>
      <c r="K193" s="555">
        <v>0</v>
      </c>
      <c r="L193" s="740"/>
      <c r="M193" s="664"/>
      <c r="N193" s="742"/>
      <c r="O193" s="8"/>
      <c r="Q193" s="675"/>
      <c r="R193" s="675"/>
    </row>
    <row r="194" spans="2:18" ht="25" customHeight="1">
      <c r="B194" s="137" t="s">
        <v>486</v>
      </c>
      <c r="C194" s="130"/>
      <c r="D194" s="38" t="s">
        <v>156</v>
      </c>
      <c r="E194" s="31"/>
      <c r="F194" s="771"/>
      <c r="G194" s="779"/>
      <c r="H194" s="779"/>
      <c r="I194" s="773" t="s">
        <v>244</v>
      </c>
      <c r="J194" s="773"/>
      <c r="K194" s="554" t="s">
        <v>594</v>
      </c>
      <c r="L194" s="740"/>
      <c r="M194" s="664"/>
      <c r="N194" s="742"/>
      <c r="O194" s="8"/>
      <c r="Q194" s="675"/>
      <c r="R194" s="675"/>
    </row>
    <row r="195" spans="2:18" ht="25" customHeight="1">
      <c r="B195" s="134" t="s">
        <v>487</v>
      </c>
      <c r="C195" s="129"/>
      <c r="D195" s="30" t="s">
        <v>160</v>
      </c>
      <c r="E195" s="129"/>
      <c r="F195" s="129"/>
      <c r="G195" s="129"/>
      <c r="H195" s="40"/>
      <c r="I195" s="770" t="s">
        <v>246</v>
      </c>
      <c r="J195" s="770"/>
      <c r="K195" s="555" t="s">
        <v>588</v>
      </c>
      <c r="L195" s="740"/>
      <c r="M195" s="664"/>
      <c r="N195" s="742"/>
      <c r="O195" s="8"/>
      <c r="Q195" s="675"/>
      <c r="R195" s="675"/>
    </row>
    <row r="196" spans="2:18" ht="25" customHeight="1">
      <c r="B196" s="106"/>
      <c r="C196" s="103"/>
      <c r="D196" s="103"/>
      <c r="E196" s="105"/>
      <c r="F196" s="777"/>
      <c r="G196" s="778"/>
      <c r="H196" s="778"/>
      <c r="I196" s="781"/>
      <c r="J196" s="781"/>
      <c r="K196" s="857"/>
      <c r="L196" s="740"/>
      <c r="M196" s="664"/>
      <c r="N196" s="742"/>
      <c r="O196" s="8"/>
      <c r="Q196" s="675"/>
      <c r="R196" s="675"/>
    </row>
    <row r="197" spans="2:18" ht="25" customHeight="1">
      <c r="B197" s="137"/>
      <c r="C197" s="130"/>
      <c r="D197" s="38"/>
      <c r="E197" s="31"/>
      <c r="F197" s="771"/>
      <c r="G197" s="779"/>
      <c r="H197" s="779"/>
      <c r="I197" s="773"/>
      <c r="J197" s="773"/>
      <c r="K197" s="554"/>
      <c r="L197" s="740"/>
      <c r="M197" s="664"/>
      <c r="N197" s="742"/>
      <c r="O197" s="8"/>
      <c r="Q197" s="675"/>
      <c r="R197" s="675"/>
    </row>
    <row r="198" spans="2:18" s="651" customFormat="1" ht="25" customHeight="1">
      <c r="B198" s="649" t="s">
        <v>595</v>
      </c>
      <c r="C198" s="878"/>
      <c r="D198" s="878"/>
      <c r="F198" s="878"/>
      <c r="G198" s="878"/>
      <c r="H198" s="878"/>
      <c r="I198" s="879"/>
      <c r="J198" s="879"/>
      <c r="K198" s="704"/>
      <c r="L198" s="880"/>
      <c r="M198" s="664"/>
      <c r="N198" s="881"/>
      <c r="O198" s="882"/>
      <c r="Q198" s="882"/>
      <c r="R198" s="882"/>
    </row>
    <row r="199" spans="2:18" ht="25" customHeight="1">
      <c r="B199" s="628" t="s">
        <v>596</v>
      </c>
      <c r="M199" s="664"/>
    </row>
    <row r="200" spans="2:18" ht="25" customHeight="1">
      <c r="B200" s="470" t="s">
        <v>208</v>
      </c>
      <c r="C200" s="23"/>
      <c r="D200" s="24" t="s">
        <v>275</v>
      </c>
      <c r="E200" s="132"/>
      <c r="F200" s="24"/>
      <c r="G200" s="131"/>
      <c r="H200" s="131"/>
      <c r="I200" s="23" t="s">
        <v>587</v>
      </c>
      <c r="J200" s="23"/>
      <c r="K200" s="612" t="s">
        <v>92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166</v>
      </c>
      <c r="E201" s="40"/>
      <c r="F201" s="30"/>
      <c r="G201" s="40"/>
      <c r="H201" s="40"/>
      <c r="I201" s="770" t="s">
        <v>246</v>
      </c>
      <c r="J201" s="770"/>
      <c r="K201" s="629">
        <f>PS_consult.jun_SEK</f>
        <v>1127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168</v>
      </c>
      <c r="E202" s="31"/>
      <c r="F202" s="771"/>
      <c r="G202" s="779"/>
      <c r="H202" s="779"/>
      <c r="I202" s="773" t="s">
        <v>246</v>
      </c>
      <c r="J202" s="773"/>
      <c r="K202" s="867">
        <f>PS_consult.sen_SEK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170</v>
      </c>
      <c r="E203" s="40"/>
      <c r="F203" s="30"/>
      <c r="G203" s="40"/>
      <c r="H203" s="40"/>
      <c r="I203" s="770" t="s">
        <v>246</v>
      </c>
      <c r="J203" s="770"/>
      <c r="K203" s="629">
        <f>PS_cloudarch.jun_SEK</f>
        <v>1277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172</v>
      </c>
      <c r="E204" s="38"/>
      <c r="F204" s="38"/>
      <c r="G204" s="779"/>
      <c r="H204" s="779"/>
      <c r="I204" s="773" t="s">
        <v>246</v>
      </c>
      <c r="J204" s="773"/>
      <c r="K204" s="867">
        <f>PS_cloudarch.sen_SEK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34" t="s">
        <v>492</v>
      </c>
      <c r="C205" s="129"/>
      <c r="D205" s="30" t="s">
        <v>174</v>
      </c>
      <c r="E205" s="40"/>
      <c r="F205" s="30"/>
      <c r="G205" s="40"/>
      <c r="H205" s="40"/>
      <c r="I205" s="770" t="s">
        <v>246</v>
      </c>
      <c r="J205" s="770"/>
      <c r="K205" s="629">
        <f>PS_pm.jun_SEK</f>
        <v>1139</v>
      </c>
      <c r="L205" s="740"/>
      <c r="M205" s="664"/>
      <c r="N205" s="742"/>
      <c r="O205" s="8"/>
      <c r="Q205" s="675"/>
      <c r="R205" s="675"/>
    </row>
    <row r="206" spans="2:18" ht="25" customHeight="1">
      <c r="B206" s="137" t="s">
        <v>493</v>
      </c>
      <c r="C206" s="130"/>
      <c r="D206" s="38" t="s">
        <v>176</v>
      </c>
      <c r="E206" s="31"/>
      <c r="F206" s="771"/>
      <c r="G206" s="779"/>
      <c r="H206" s="779"/>
      <c r="I206" s="773" t="s">
        <v>246</v>
      </c>
      <c r="J206" s="773"/>
      <c r="K206" s="867">
        <f>PS_pm.sen_SEK</f>
        <v>1374</v>
      </c>
      <c r="L206" s="740"/>
      <c r="M206" s="664"/>
      <c r="N206" s="742"/>
      <c r="O206" s="8"/>
      <c r="Q206" s="675"/>
      <c r="R206" s="675"/>
    </row>
    <row r="207" spans="2:18" ht="25" customHeight="1">
      <c r="B207" s="106"/>
      <c r="C207" s="103"/>
      <c r="D207" s="397"/>
      <c r="E207" s="105"/>
      <c r="F207" s="777"/>
      <c r="G207" s="778"/>
      <c r="H207" s="778"/>
      <c r="I207" s="781"/>
      <c r="J207" s="781"/>
      <c r="K207" s="857"/>
      <c r="L207" s="740"/>
      <c r="M207" s="664"/>
      <c r="N207" s="742"/>
      <c r="O207" s="8"/>
      <c r="Q207" s="675"/>
      <c r="R207" s="675"/>
    </row>
    <row r="208" spans="2:18" ht="25" customHeight="1">
      <c r="B208" s="137"/>
      <c r="C208" s="130"/>
      <c r="D208" s="38"/>
      <c r="E208" s="31"/>
      <c r="F208" s="771"/>
      <c r="G208" s="779"/>
      <c r="H208" s="779"/>
      <c r="I208" s="773"/>
      <c r="J208" s="773"/>
      <c r="K208" s="554"/>
      <c r="M208" s="664"/>
      <c r="N208" s="742"/>
      <c r="O208" s="8"/>
    </row>
    <row r="209" spans="1:18" ht="25" customHeight="1">
      <c r="B209" s="649" t="s">
        <v>250</v>
      </c>
      <c r="C209" s="13"/>
      <c r="D209" s="13"/>
      <c r="F209" s="13"/>
      <c r="G209" s="13"/>
      <c r="H209" s="13"/>
      <c r="I209" s="776"/>
      <c r="J209" s="776"/>
      <c r="L209" s="740"/>
      <c r="M209" s="664"/>
      <c r="N209" s="742"/>
      <c r="O209" s="8"/>
      <c r="Q209" s="675"/>
      <c r="R209" s="675"/>
    </row>
    <row r="210" spans="1:18" ht="25" customHeight="1">
      <c r="B210" s="628" t="s">
        <v>597</v>
      </c>
      <c r="M210" s="664"/>
    </row>
    <row r="211" spans="1:18" ht="25" customHeight="1">
      <c r="B211" s="470" t="s">
        <v>208</v>
      </c>
      <c r="C211" s="23"/>
      <c r="D211" s="24" t="s">
        <v>275</v>
      </c>
      <c r="E211" s="132"/>
      <c r="F211" s="24"/>
      <c r="G211" s="23" t="s">
        <v>251</v>
      </c>
      <c r="H211" s="23"/>
      <c r="I211" s="23" t="s">
        <v>587</v>
      </c>
      <c r="J211" s="23"/>
      <c r="K211" s="612" t="s">
        <v>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630</v>
      </c>
      <c r="C212" s="129"/>
      <c r="D212" s="30" t="s">
        <v>252</v>
      </c>
      <c r="E212" s="40"/>
      <c r="F212" s="30"/>
      <c r="G212" s="770" t="s">
        <v>253</v>
      </c>
      <c r="H212" s="770"/>
      <c r="I212" s="770" t="s">
        <v>307</v>
      </c>
      <c r="J212" s="770"/>
      <c r="K212" s="555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631</v>
      </c>
      <c r="C213" s="130"/>
      <c r="D213" s="38" t="s">
        <v>255</v>
      </c>
      <c r="E213" s="31"/>
      <c r="F213" s="771"/>
      <c r="G213" s="773" t="s">
        <v>253</v>
      </c>
      <c r="H213" s="773"/>
      <c r="I213" s="773" t="s">
        <v>307</v>
      </c>
      <c r="J213" s="773"/>
      <c r="K213" s="554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34" t="s">
        <v>632</v>
      </c>
      <c r="C214" s="129"/>
      <c r="D214" s="30" t="s">
        <v>256</v>
      </c>
      <c r="E214" s="40"/>
      <c r="F214" s="30"/>
      <c r="G214" s="770" t="s">
        <v>598</v>
      </c>
      <c r="H214" s="770"/>
      <c r="I214" s="770" t="s">
        <v>307</v>
      </c>
      <c r="J214" s="770"/>
      <c r="K214" s="555" t="s">
        <v>588</v>
      </c>
      <c r="L214" s="740"/>
      <c r="M214" s="664"/>
      <c r="N214" s="742"/>
      <c r="O214" s="8"/>
      <c r="Q214" s="675"/>
      <c r="R214" s="675"/>
    </row>
    <row r="215" spans="1:18" ht="25" customHeight="1">
      <c r="B215" s="137" t="s">
        <v>633</v>
      </c>
      <c r="C215" s="130"/>
      <c r="D215" s="38" t="s">
        <v>258</v>
      </c>
      <c r="E215" s="31"/>
      <c r="F215" s="771"/>
      <c r="G215" s="773" t="s">
        <v>598</v>
      </c>
      <c r="H215" s="773"/>
      <c r="I215" s="773" t="s">
        <v>307</v>
      </c>
      <c r="J215" s="773"/>
      <c r="K215" s="554" t="s">
        <v>588</v>
      </c>
      <c r="L215" s="740"/>
      <c r="M215" s="664"/>
      <c r="N215" s="742"/>
      <c r="O215" s="8"/>
      <c r="Q215" s="675"/>
      <c r="R215" s="675"/>
    </row>
    <row r="216" spans="1:18" ht="25" customHeight="1">
      <c r="B216" s="106"/>
      <c r="C216" s="103"/>
      <c r="D216" s="397"/>
      <c r="E216" s="105"/>
      <c r="F216" s="777"/>
      <c r="G216" s="778"/>
      <c r="H216" s="778"/>
      <c r="I216" s="778"/>
      <c r="J216" s="778"/>
      <c r="K216" s="857"/>
      <c r="L216" s="740"/>
      <c r="M216" s="664"/>
      <c r="N216" s="742"/>
      <c r="O216" s="8"/>
      <c r="Q216" s="675"/>
      <c r="R216" s="675"/>
    </row>
    <row r="217" spans="1:18" ht="25" customHeight="1">
      <c r="B217" s="417"/>
      <c r="C217" s="26"/>
      <c r="D217" s="26"/>
      <c r="E217" s="26"/>
      <c r="F217" s="760"/>
      <c r="G217" s="761"/>
      <c r="H217" s="740"/>
      <c r="I217" s="740"/>
      <c r="J217" s="740"/>
      <c r="K217" s="847"/>
      <c r="L217" s="742"/>
      <c r="M217" s="664"/>
      <c r="N217" s="675"/>
      <c r="O217" s="675"/>
    </row>
    <row r="218" spans="1:18" ht="25" customHeight="1">
      <c r="A218" s="769"/>
      <c r="B218" s="640"/>
      <c r="C218" s="60"/>
      <c r="D218" s="60"/>
      <c r="E218" s="60"/>
      <c r="F218" s="782"/>
      <c r="G218" s="783"/>
      <c r="H218" s="784"/>
      <c r="I218" s="785"/>
      <c r="J218" s="786"/>
      <c r="K218" s="859"/>
      <c r="L218" s="787"/>
      <c r="M218" s="664"/>
      <c r="N218" s="675"/>
      <c r="O218" s="675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641"/>
      <c r="C221" s="54"/>
      <c r="D221" s="54"/>
      <c r="E221" s="54"/>
      <c r="F221" s="788"/>
      <c r="G221" s="789"/>
      <c r="H221" s="790"/>
      <c r="I221" s="791"/>
      <c r="J221" s="792"/>
      <c r="K221" s="860"/>
      <c r="L221" s="3"/>
      <c r="M221" s="664"/>
    </row>
    <row r="222" spans="1:18" s="4" customFormat="1" ht="25" customHeight="1">
      <c r="A222" s="3"/>
      <c r="B222" s="975" t="s">
        <v>312</v>
      </c>
      <c r="C222" s="975"/>
      <c r="D222" s="975"/>
      <c r="E222" s="975"/>
      <c r="F222" s="975"/>
      <c r="G222" s="975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5"/>
      <c r="C223" s="975"/>
      <c r="D223" s="975"/>
      <c r="E223" s="975"/>
      <c r="F223" s="975"/>
      <c r="G223" s="975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5"/>
      <c r="C224" s="975"/>
      <c r="D224" s="975"/>
      <c r="E224" s="975"/>
      <c r="F224" s="975"/>
      <c r="G224" s="975"/>
      <c r="H224" s="666"/>
      <c r="I224" s="793"/>
      <c r="J224" s="3"/>
      <c r="K224" s="831"/>
      <c r="L224" s="3"/>
      <c r="M224" s="664"/>
    </row>
    <row r="225" spans="1:20" s="4" customFormat="1" ht="25" customHeight="1">
      <c r="A225" s="3"/>
      <c r="B225" s="976" t="s">
        <v>562</v>
      </c>
      <c r="C225" s="976"/>
      <c r="D225" s="976"/>
      <c r="E225" s="976"/>
      <c r="F225" s="976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634"/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22" t="s">
        <v>599</v>
      </c>
      <c r="C227" s="62"/>
      <c r="D227" s="62"/>
      <c r="E227" s="62"/>
      <c r="F227" s="62"/>
      <c r="G227" s="3"/>
      <c r="H227" s="666"/>
      <c r="I227" s="793"/>
      <c r="J227" s="3"/>
      <c r="K227" s="831"/>
      <c r="L227" s="794"/>
      <c r="M227" s="664"/>
    </row>
    <row r="228" spans="1:20" s="4" customFormat="1" ht="25" customHeight="1">
      <c r="A228" s="3"/>
      <c r="B228" s="418" t="s">
        <v>433</v>
      </c>
      <c r="C228" s="62"/>
      <c r="D228" s="62"/>
      <c r="E228" s="62"/>
      <c r="F228" s="62"/>
      <c r="G228" s="3"/>
      <c r="H228" s="666"/>
      <c r="I228" s="3"/>
      <c r="J228" s="667"/>
      <c r="K228" s="831"/>
      <c r="L228" s="794"/>
      <c r="M228" s="664"/>
    </row>
    <row r="229" spans="1:20" s="4" customFormat="1" ht="25" customHeight="1">
      <c r="A229" s="3"/>
      <c r="B229" s="913" t="s">
        <v>627</v>
      </c>
      <c r="C229" s="67"/>
      <c r="D229" s="67"/>
      <c r="E229" s="67"/>
      <c r="F229" s="67"/>
      <c r="G229" s="794"/>
      <c r="H229" s="795"/>
      <c r="I229" s="794"/>
      <c r="J229" s="796"/>
      <c r="K229" s="861"/>
      <c r="L229" s="794"/>
      <c r="M229" s="664"/>
    </row>
    <row r="230" spans="1:20" s="715" customFormat="1" ht="25" customHeight="1">
      <c r="A230" s="797"/>
      <c r="B230" s="883"/>
      <c r="C230" s="135"/>
      <c r="D230" s="135"/>
      <c r="E230" s="135"/>
      <c r="F230" s="135"/>
      <c r="G230" s="794"/>
      <c r="H230" s="795"/>
      <c r="I230" s="794"/>
      <c r="J230" s="796"/>
      <c r="K230" s="861"/>
      <c r="L230" s="797"/>
      <c r="M230" s="664"/>
      <c r="N230" s="798"/>
      <c r="O230" s="729"/>
      <c r="P230" s="729"/>
      <c r="Q230" s="729"/>
      <c r="R230" s="729"/>
      <c r="S230" s="729"/>
      <c r="T230" s="729"/>
    </row>
    <row r="231" spans="1:20" ht="25" customHeight="1">
      <c r="A231" s="2"/>
      <c r="B231" s="642" t="s">
        <v>495</v>
      </c>
      <c r="C231" s="56"/>
      <c r="D231" s="57"/>
      <c r="E231" s="56"/>
      <c r="F231" s="659"/>
      <c r="G231" s="659"/>
      <c r="H231" s="659"/>
      <c r="I231" s="56"/>
      <c r="J231" s="659" t="s">
        <v>312</v>
      </c>
      <c r="K231" s="862"/>
      <c r="L231" s="799"/>
      <c r="M231" s="664"/>
      <c r="N231" s="28"/>
    </row>
    <row r="232" spans="1:20" ht="25" customHeight="1">
      <c r="A232" s="2"/>
      <c r="B232" s="827" t="s">
        <v>4</v>
      </c>
      <c r="C232" s="656" t="str" cm="1">
        <f t="array" ref="C232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2" s="71"/>
      <c r="E232" s="656"/>
      <c r="F232" s="656"/>
      <c r="G232" s="657"/>
      <c r="H232" s="800"/>
      <c r="I232" s="801"/>
      <c r="J232" s="660">
        <f>K66+K75+K57+K40+K84</f>
        <v>0</v>
      </c>
      <c r="K232" s="828"/>
      <c r="L232" s="2"/>
      <c r="M232" s="664"/>
      <c r="N232" s="28"/>
    </row>
    <row r="233" spans="1:20" ht="25" customHeight="1">
      <c r="A233" s="2"/>
      <c r="B233" s="491" t="s">
        <v>72</v>
      </c>
      <c r="C233" s="610" t="str">
        <f>K96&amp;" TB - S3"&amp;"     /     "&amp;K95&amp;" TB - Archive"</f>
        <v>0 TB - S3     /     0 TB - Archive</v>
      </c>
      <c r="D233" s="658"/>
      <c r="E233" s="658"/>
      <c r="F233" s="802"/>
      <c r="G233" s="803"/>
      <c r="H233" s="803"/>
      <c r="I233" s="804"/>
      <c r="J233" s="661">
        <f>K97</f>
        <v>0</v>
      </c>
      <c r="K233" s="828"/>
      <c r="L233" s="2"/>
      <c r="M233" s="664"/>
      <c r="N233" s="28"/>
    </row>
    <row r="234" spans="1:20" ht="25" customHeight="1">
      <c r="A234" s="2"/>
      <c r="B234" s="491" t="s">
        <v>86</v>
      </c>
      <c r="C234" s="136"/>
      <c r="D234" s="72"/>
      <c r="E234" s="73"/>
      <c r="F234" s="802"/>
      <c r="G234" s="803"/>
      <c r="H234" s="803"/>
      <c r="I234" s="804"/>
      <c r="J234" s="661">
        <f>K121</f>
        <v>0</v>
      </c>
      <c r="K234" s="828"/>
      <c r="L234" s="2"/>
      <c r="M234" s="664"/>
      <c r="N234" s="28"/>
    </row>
    <row r="235" spans="1:20" s="808" customFormat="1" ht="25" customHeight="1">
      <c r="A235" s="806"/>
      <c r="B235" s="918" t="s">
        <v>222</v>
      </c>
      <c r="C235" s="662"/>
      <c r="D235" s="662"/>
      <c r="E235" s="662"/>
      <c r="F235" s="662"/>
      <c r="G235" s="662"/>
      <c r="H235" s="662"/>
      <c r="I235" s="662"/>
      <c r="J235" s="662">
        <f>SUM(J232:J234)</f>
        <v>0</v>
      </c>
      <c r="K235" s="863"/>
      <c r="L235" s="806"/>
      <c r="M235" s="664"/>
    </row>
    <row r="236" spans="1:20" ht="25" customHeight="1">
      <c r="A236" s="2"/>
      <c r="B236" s="421"/>
      <c r="C236" s="59"/>
      <c r="D236" s="59"/>
      <c r="E236" s="59"/>
      <c r="F236" s="809"/>
      <c r="G236" s="810"/>
      <c r="H236" s="810"/>
      <c r="I236" s="811"/>
      <c r="J236" s="811"/>
      <c r="K236" s="864"/>
      <c r="L236" s="2"/>
      <c r="M236" s="664"/>
    </row>
    <row r="237" spans="1:20" ht="25" customHeight="1">
      <c r="A237" s="2"/>
      <c r="B237" s="643"/>
      <c r="C237" s="30"/>
      <c r="D237" s="36"/>
      <c r="E237" s="37"/>
      <c r="F237" s="40"/>
      <c r="G237" s="442"/>
      <c r="H237" s="30"/>
      <c r="I237" s="774"/>
      <c r="J237" s="734"/>
      <c r="K237" s="828"/>
      <c r="L237" s="2"/>
      <c r="M237" s="664"/>
    </row>
    <row r="238" spans="1:20" ht="25" customHeight="1">
      <c r="A238" s="812"/>
      <c r="B238" s="644"/>
      <c r="C238" s="42"/>
      <c r="D238" s="33"/>
      <c r="E238" s="34"/>
      <c r="F238" s="813"/>
      <c r="G238" s="805"/>
      <c r="H238" s="42"/>
      <c r="I238" s="814"/>
      <c r="J238" s="437"/>
      <c r="K238" s="594"/>
      <c r="L238" s="815"/>
      <c r="M238" s="664"/>
    </row>
    <row r="239" spans="1:20" s="112" customFormat="1" ht="25" customHeight="1">
      <c r="B239" s="645"/>
      <c r="C239" s="108"/>
      <c r="D239" s="109"/>
      <c r="E239" s="110"/>
      <c r="F239" s="816"/>
      <c r="G239" s="817"/>
      <c r="H239" s="108"/>
      <c r="I239" s="818"/>
      <c r="J239" s="819"/>
      <c r="K239" s="865"/>
    </row>
    <row r="240" spans="1:20" s="112" customFormat="1" ht="25" customHeight="1">
      <c r="B240" s="914" t="s">
        <v>575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576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577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4" t="s">
        <v>578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916" t="s">
        <v>621</v>
      </c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823" customFormat="1" ht="25" customHeight="1">
      <c r="A249" s="112"/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5"/>
      <c r="C268" s="108"/>
      <c r="D268" s="108"/>
      <c r="E268" s="108"/>
      <c r="F268" s="820"/>
      <c r="G268" s="821"/>
      <c r="H268" s="822"/>
      <c r="I268" s="822"/>
      <c r="J268" s="822"/>
      <c r="K268" s="866"/>
      <c r="L268" s="819"/>
      <c r="M268" s="819"/>
      <c r="N268" s="819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19" spans="2:13" s="112" customFormat="1" ht="25" customHeight="1">
      <c r="B319" s="646"/>
      <c r="K319" s="866"/>
      <c r="M319" s="824"/>
    </row>
    <row r="331" spans="2:4" ht="25" customHeight="1">
      <c r="B331" s="647"/>
      <c r="C331" s="38"/>
      <c r="D331" s="96"/>
    </row>
  </sheetData>
  <sheetProtection algorithmName="SHA-512" hashValue="dtaST5b/Kd6OOtIf5xXw3PJ/r9EIQ5CFph+x7G85TX4AjfgffdvEG7tgBQO3kH9BlGnFFLiZoWUHRZ5KR71Qug==" saltValue="OYKoddZ1tAjjrCIEa30sgg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7:F187"/>
    <mergeCell ref="B188:F188"/>
    <mergeCell ref="B222:G224"/>
    <mergeCell ref="B225:F225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4:G186"/>
    <mergeCell ref="C133:D133"/>
    <mergeCell ref="E133:F133"/>
    <mergeCell ref="G133:H133"/>
  </mergeCells>
  <phoneticPr fontId="2" type="noConversion"/>
  <conditionalFormatting sqref="I26:I39 I47:I56 I62:I65 I72:I74 I81:I83 I95:I96 I118:I120 J119:J120 K26:K39 K47:K56 K62:K65 K72:K74 K81:K83 K95:K96 K118:K120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9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  <hyperlink ref="B45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8" max="11" man="1"/>
    <brk id="258" max="13" man="1"/>
    <brk id="280" max="16383" man="1"/>
  </rowBreaks>
  <ignoredErrors>
    <ignoredError sqref="G82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2" t="str">
        <f>"1 SEK = "&amp;NOK&amp;" NOK"</f>
        <v>1 SEK = 1 NOK</v>
      </c>
      <c r="E11" s="1052"/>
      <c r="F11" s="105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9" t="s">
        <v>265</v>
      </c>
      <c r="C19" s="1049"/>
      <c r="D19" s="1049"/>
      <c r="E19" s="1049"/>
      <c r="F19" s="1049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51" t="s">
        <v>276</v>
      </c>
      <c r="G88" s="1051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8">
        <f>VOLUME_large_SEK</f>
        <v>1.2</v>
      </c>
      <c r="G89" s="1068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0">
        <f>VOLUME_fast_SEK</f>
        <v>3.6</v>
      </c>
      <c r="G90" s="1070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2" t="s">
        <v>72</v>
      </c>
      <c r="C95" s="1042"/>
      <c r="D95" s="1042"/>
      <c r="E95" s="1042"/>
      <c r="F95" s="1042"/>
      <c r="G95" s="1042"/>
      <c r="H95" s="177"/>
      <c r="J95" s="178"/>
      <c r="K95" s="178"/>
      <c r="M95" s="179"/>
      <c r="O95" s="168"/>
    </row>
    <row r="96" spans="2:23" s="169" customFormat="1" ht="25.5" customHeight="1">
      <c r="B96" s="1042"/>
      <c r="C96" s="1042"/>
      <c r="D96" s="1042"/>
      <c r="E96" s="1042"/>
      <c r="F96" s="1042"/>
      <c r="G96" s="1042"/>
      <c r="H96" s="177"/>
      <c r="J96" s="178"/>
      <c r="K96" s="178"/>
      <c r="M96" s="179"/>
      <c r="O96" s="168"/>
    </row>
    <row r="97" spans="2:23" s="169" customFormat="1" ht="25.5" customHeight="1">
      <c r="B97" s="1042"/>
      <c r="C97" s="1042"/>
      <c r="D97" s="1042"/>
      <c r="E97" s="1042"/>
      <c r="F97" s="1042"/>
      <c r="G97" s="1042"/>
      <c r="H97" s="177"/>
      <c r="J97" s="178"/>
      <c r="K97" s="178"/>
      <c r="M97" s="179"/>
      <c r="O97" s="168"/>
    </row>
    <row r="98" spans="2:23" s="169" customFormat="1" ht="25.5" customHeight="1">
      <c r="B98" s="1071" t="s">
        <v>278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9" t="s">
        <v>279</v>
      </c>
      <c r="C99" s="1049"/>
      <c r="D99" s="1049"/>
      <c r="E99" s="1049"/>
      <c r="F99" s="1049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51" t="s">
        <v>282</v>
      </c>
      <c r="E102" s="1051"/>
      <c r="F102" s="1051"/>
      <c r="G102" s="1051"/>
      <c r="H102" s="1051"/>
      <c r="I102" s="1051"/>
      <c r="J102" s="1051"/>
      <c r="K102" s="1051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9">
        <f>S3_storage.50_SEK</f>
        <v>350</v>
      </c>
      <c r="E103" s="1069"/>
      <c r="F103" s="1069"/>
      <c r="G103" s="1069"/>
      <c r="H103" s="1069"/>
      <c r="I103" s="1069"/>
      <c r="J103" s="1069"/>
      <c r="K103" s="1069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3">
        <f>S3_storage.100_SEK</f>
        <v>270</v>
      </c>
      <c r="E104" s="1073"/>
      <c r="F104" s="1073"/>
      <c r="G104" s="1073"/>
      <c r="H104" s="1073"/>
      <c r="I104" s="1073"/>
      <c r="J104" s="1073"/>
      <c r="K104" s="1073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3">
        <f>S3_storage.1000_SEK</f>
        <v>185</v>
      </c>
      <c r="E106" s="1073"/>
      <c r="F106" s="1073"/>
      <c r="G106" s="1073"/>
      <c r="H106" s="1073"/>
      <c r="I106" s="1073"/>
      <c r="J106" s="1073"/>
      <c r="K106" s="1073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4" t="str">
        <f>S3_storage.quote_SEK</f>
        <v>Be om offert</v>
      </c>
      <c r="E107" s="1074"/>
      <c r="F107" s="1074"/>
      <c r="G107" s="1074"/>
      <c r="H107" s="1074"/>
      <c r="I107" s="1074"/>
      <c r="J107" s="1074"/>
      <c r="K107" s="1074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2" t="s">
        <v>86</v>
      </c>
      <c r="C116" s="1042"/>
      <c r="D116" s="1042"/>
      <c r="E116" s="1042"/>
      <c r="F116" s="1042"/>
      <c r="G116" s="1042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2"/>
      <c r="C117" s="1042"/>
      <c r="D117" s="1042"/>
      <c r="E117" s="1042"/>
      <c r="F117" s="1042"/>
      <c r="G117" s="1042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2"/>
      <c r="C118" s="1042"/>
      <c r="D118" s="1042"/>
      <c r="E118" s="1042"/>
      <c r="F118" s="1042"/>
      <c r="G118" s="1042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283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9" t="s">
        <v>284</v>
      </c>
      <c r="C120" s="1049"/>
      <c r="D120" s="1049"/>
      <c r="E120" s="1049"/>
      <c r="F120" s="1049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1" t="s">
        <v>285</v>
      </c>
      <c r="D123" s="1051"/>
      <c r="E123" s="131" t="s">
        <v>267</v>
      </c>
      <c r="F123" s="1051" t="s">
        <v>276</v>
      </c>
      <c r="G123" s="1051"/>
      <c r="H123" s="266" t="s">
        <v>90</v>
      </c>
      <c r="I123" s="265"/>
      <c r="J123" s="1026" t="s">
        <v>286</v>
      </c>
      <c r="K123" s="1026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5">
        <f>BAAS_on.demand_SEK</f>
        <v>2.4500000000000002</v>
      </c>
      <c r="G124" s="1076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7">
        <f>BAAS_small_SEK</f>
        <v>1.75</v>
      </c>
      <c r="G125" s="1078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9">
        <f>BAAS_large_SEK</f>
        <v>0.92</v>
      </c>
      <c r="G126" s="1080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2" t="s">
        <v>291</v>
      </c>
      <c r="C137" s="1042"/>
      <c r="D137" s="1042"/>
      <c r="E137" s="1042"/>
      <c r="F137" s="1042"/>
      <c r="G137" s="1042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2"/>
      <c r="C138" s="1042"/>
      <c r="D138" s="1042"/>
      <c r="E138" s="1042"/>
      <c r="F138" s="1042"/>
      <c r="G138" s="1042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2"/>
      <c r="C139" s="1042"/>
      <c r="D139" s="1042"/>
      <c r="E139" s="1042"/>
      <c r="F139" s="1042"/>
      <c r="G139" s="1042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9" t="s">
        <v>284</v>
      </c>
      <c r="C140" s="1049"/>
      <c r="D140" s="1049"/>
      <c r="E140" s="1049"/>
      <c r="F140" s="1049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7"/>
      <c r="C141" s="1027"/>
      <c r="D141" s="1027"/>
      <c r="E141" s="1027"/>
      <c r="F141" s="102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2" t="s">
        <v>299</v>
      </c>
      <c r="C176" s="1042"/>
      <c r="D176" s="1042"/>
      <c r="E176" s="1042"/>
      <c r="F176" s="1042"/>
      <c r="G176" s="1042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2"/>
      <c r="C177" s="1042"/>
      <c r="D177" s="1042"/>
      <c r="E177" s="1042"/>
      <c r="F177" s="1042"/>
      <c r="G177" s="1042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2"/>
      <c r="C178" s="1042"/>
      <c r="D178" s="1042"/>
      <c r="E178" s="1042"/>
      <c r="F178" s="1042"/>
      <c r="G178" s="1042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9" t="s">
        <v>284</v>
      </c>
      <c r="C179" s="1049"/>
      <c r="D179" s="1049"/>
      <c r="E179" s="1049"/>
      <c r="F179" s="1049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7"/>
      <c r="C180" s="1027"/>
      <c r="D180" s="1027"/>
      <c r="E180" s="1027"/>
      <c r="F180" s="102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7" t="s">
        <v>312</v>
      </c>
      <c r="C211" s="1057"/>
      <c r="D211" s="1057"/>
      <c r="E211" s="1057"/>
      <c r="F211" s="1057"/>
      <c r="G211" s="105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7"/>
      <c r="C212" s="1057"/>
      <c r="D212" s="1057"/>
      <c r="E212" s="1057"/>
      <c r="F212" s="1057"/>
      <c r="G212" s="105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7"/>
      <c r="C213" s="1057"/>
      <c r="D213" s="1057"/>
      <c r="E213" s="1057"/>
      <c r="F213" s="1057"/>
      <c r="G213" s="105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1" t="s">
        <v>313</v>
      </c>
      <c r="C214" s="1081"/>
      <c r="D214" s="1081"/>
      <c r="E214" s="1081"/>
      <c r="F214" s="108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2" t="str">
        <f>SUM(E67)&amp;" GB NVME-Disk"</f>
        <v>0 GB NVME-Disk</v>
      </c>
      <c r="G221" s="108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30" operator="lessThan">
      <formula>$J81</formula>
    </cfRule>
    <cfRule type="cellIs" dxfId="29" priority="28" operator="greaterThan">
      <formula>0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0"/>
      <c r="C4" s="105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2" t="s">
        <v>4</v>
      </c>
      <c r="C15" s="1042"/>
      <c r="D15" s="1042"/>
      <c r="E15" s="1042"/>
      <c r="F15" s="1042"/>
      <c r="G15" s="1042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2"/>
      <c r="C16" s="1042"/>
      <c r="D16" s="1042"/>
      <c r="E16" s="1042"/>
      <c r="F16" s="1042"/>
      <c r="G16" s="1042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2"/>
      <c r="C17" s="1042"/>
      <c r="D17" s="1042"/>
      <c r="E17" s="1042"/>
      <c r="F17" s="1042"/>
      <c r="G17" s="1042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7" t="s">
        <v>205</v>
      </c>
      <c r="C19" s="1027"/>
      <c r="D19" s="1027"/>
      <c r="E19" s="1027"/>
      <c r="F19" s="102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1" t="s">
        <v>221</v>
      </c>
      <c r="G98" s="1051"/>
      <c r="H98" s="1026"/>
      <c r="I98" s="1026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8">
        <f>VOLUME_large_SEK</f>
        <v>1.2</v>
      </c>
      <c r="G99" s="1068"/>
      <c r="H99" s="1095"/>
      <c r="I99" s="1095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0">
        <f>VOLUME_fast_SEK</f>
        <v>3.6</v>
      </c>
      <c r="G100" s="1070"/>
      <c r="H100" s="1096"/>
      <c r="I100" s="1096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2" t="s">
        <v>343</v>
      </c>
      <c r="C105" s="1042"/>
      <c r="D105" s="1042"/>
      <c r="E105" s="1042"/>
      <c r="F105" s="1042"/>
      <c r="G105" s="1042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2"/>
      <c r="C106" s="1042"/>
      <c r="D106" s="1042"/>
      <c r="E106" s="1042"/>
      <c r="F106" s="1042"/>
      <c r="G106" s="1042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2"/>
      <c r="C107" s="1042"/>
      <c r="D107" s="1042"/>
      <c r="E107" s="1042"/>
      <c r="F107" s="1042"/>
      <c r="G107" s="1042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8" t="s">
        <v>223</v>
      </c>
      <c r="C108" s="1048"/>
      <c r="D108" s="1048"/>
      <c r="E108" s="1048"/>
      <c r="F108" s="1048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9" t="s">
        <v>344</v>
      </c>
      <c r="C109" s="1049"/>
      <c r="D109" s="1049"/>
      <c r="E109" s="1049"/>
      <c r="F109" s="1049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1" t="s">
        <v>345</v>
      </c>
      <c r="E112" s="1051"/>
      <c r="F112" s="1051"/>
      <c r="G112" s="1051"/>
      <c r="H112" s="1051"/>
      <c r="I112" s="1051"/>
      <c r="J112" s="1051"/>
      <c r="K112" s="1051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2">
        <f>S3_storage.50_SUNET</f>
        <v>0.35</v>
      </c>
      <c r="E113" s="1092"/>
      <c r="F113" s="1069"/>
      <c r="G113" s="1069"/>
      <c r="H113" s="1069"/>
      <c r="I113" s="1069"/>
      <c r="J113" s="1069"/>
      <c r="K113" s="1069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91">
        <f>S3_storage.100_SUNET</f>
        <v>0.19</v>
      </c>
      <c r="E114" s="1091"/>
      <c r="F114" s="1073"/>
      <c r="G114" s="1073"/>
      <c r="H114" s="1073"/>
      <c r="I114" s="1073"/>
      <c r="J114" s="1073"/>
      <c r="K114" s="1073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90">
        <f>S3_storage.500_SUNET</f>
        <v>0.1</v>
      </c>
      <c r="E115" s="1090"/>
      <c r="F115" s="1072"/>
      <c r="G115" s="1072"/>
      <c r="H115" s="1072"/>
      <c r="I115" s="1072"/>
      <c r="J115" s="1072"/>
      <c r="K115" s="1072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91">
        <f>S3_storage.1000_SUNET</f>
        <v>0.06</v>
      </c>
      <c r="E116" s="1091"/>
      <c r="F116" s="1073"/>
      <c r="G116" s="1073"/>
      <c r="H116" s="1073"/>
      <c r="I116" s="1073"/>
      <c r="J116" s="1073"/>
      <c r="K116" s="1073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7" t="str">
        <f>S3_storage.quote_SUNET</f>
        <v>Be om offert</v>
      </c>
      <c r="E117" s="1087"/>
      <c r="F117" s="1074"/>
      <c r="G117" s="1074"/>
      <c r="H117" s="1074"/>
      <c r="I117" s="1074"/>
      <c r="J117" s="1074"/>
      <c r="K117" s="1074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1" t="s">
        <v>221</v>
      </c>
      <c r="G120" s="1051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8" cm="1">
        <f t="array" ref="F121">_xlfn.IFS(H121&lt;=299,D113,H121&lt;1000,D114,H121&lt;2000,D115,H121&gt;=2000,D116)</f>
        <v>0.35</v>
      </c>
      <c r="G121" s="1089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3">
        <f>ROUNDUP((H121*1000)*F121,2)</f>
        <v>0</v>
      </c>
      <c r="N121" s="1093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4">
        <f>SUM(M121)</f>
        <v>0</v>
      </c>
      <c r="N122" s="1094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2" t="s">
        <v>86</v>
      </c>
      <c r="C126" s="1042"/>
      <c r="D126" s="1042"/>
      <c r="E126" s="1042"/>
      <c r="F126" s="1042"/>
      <c r="G126" s="1042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2"/>
      <c r="C127" s="1042"/>
      <c r="D127" s="1042"/>
      <c r="E127" s="1042"/>
      <c r="F127" s="1042"/>
      <c r="G127" s="1042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2"/>
      <c r="C128" s="1042"/>
      <c r="D128" s="1042"/>
      <c r="E128" s="1042"/>
      <c r="F128" s="1042"/>
      <c r="G128" s="1042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6" t="s">
        <v>87</v>
      </c>
      <c r="C129" s="1056"/>
      <c r="D129" s="1056"/>
      <c r="E129" s="1056"/>
      <c r="F129" s="105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7" t="s">
        <v>226</v>
      </c>
      <c r="C130" s="1027"/>
      <c r="D130" s="1027"/>
      <c r="E130" s="1027"/>
      <c r="F130" s="102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1" t="s">
        <v>228</v>
      </c>
      <c r="D133" s="1051"/>
      <c r="E133" s="131" t="s">
        <v>210</v>
      </c>
      <c r="F133" s="1051" t="s">
        <v>221</v>
      </c>
      <c r="G133" s="1051"/>
      <c r="H133" s="266" t="s">
        <v>90</v>
      </c>
      <c r="I133" s="265"/>
      <c r="J133" s="1026" t="s">
        <v>229</v>
      </c>
      <c r="K133" s="1026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5">
        <f>BAAS_on.demand_SEK</f>
        <v>2.4500000000000002</v>
      </c>
      <c r="G134" s="1076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7">
        <f>BAAS_small_SEK</f>
        <v>1.75</v>
      </c>
      <c r="G135" s="1078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9">
        <f>BAAS_large_SEK</f>
        <v>0.92</v>
      </c>
      <c r="G136" s="1080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7" t="s">
        <v>259</v>
      </c>
      <c r="C150" s="1057"/>
      <c r="D150" s="1057"/>
      <c r="E150" s="1057"/>
      <c r="F150" s="1057"/>
      <c r="G150" s="105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7"/>
      <c r="C151" s="1057"/>
      <c r="D151" s="1057"/>
      <c r="E151" s="1057"/>
      <c r="F151" s="1057"/>
      <c r="G151" s="105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7"/>
      <c r="C152" s="1057"/>
      <c r="D152" s="1057"/>
      <c r="E152" s="1057"/>
      <c r="F152" s="1057"/>
      <c r="G152" s="105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1" t="s">
        <v>226</v>
      </c>
      <c r="C153" s="1081"/>
      <c r="D153" s="1081"/>
      <c r="E153" s="1081"/>
      <c r="F153" s="108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4" t="s">
        <v>196</v>
      </c>
      <c r="C160" s="1084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5" t="s">
        <v>197</v>
      </c>
      <c r="C161" s="1085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6" t="s">
        <v>199</v>
      </c>
      <c r="C163" s="1086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3">
        <f>SUM(M160:M163)</f>
        <v>0</v>
      </c>
      <c r="K164" s="1083"/>
      <c r="L164" s="1083"/>
      <c r="M164" s="1083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25:I35 I65:I85">
    <cfRule type="cellIs" dxfId="20" priority="54" operator="lessThan">
      <formula>$J25</formula>
    </cfRule>
  </conditionalFormatting>
  <conditionalFormatting sqref="I41:I59">
    <cfRule type="cellIs" dxfId="19" priority="40" operator="lessThan">
      <formula>$J41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D5" sqref="D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8">
    <cfRule type="cellIs" dxfId="3" priority="25" operator="greaterThan">
      <formula>0</formula>
    </cfRule>
  </conditionalFormatting>
  <conditionalFormatting sqref="D61:D67">
    <cfRule type="cellIs" dxfId="2" priority="1" operator="greaterThan">
      <formula>0</formula>
    </cfRule>
  </conditionalFormatting>
  <conditionalFormatting sqref="D70:D75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2023-12-01T16:09:09Z</cp:lastPrinted>
  <dcterms:created xsi:type="dcterms:W3CDTF">2015-05-31T16:02:08Z</dcterms:created>
  <dcterms:modified xsi:type="dcterms:W3CDTF">2023-12-01T16:09:36Z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