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NOR/"/>
    </mc:Choice>
  </mc:AlternateContent>
  <xr:revisionPtr revIDLastSave="0" documentId="13_ncr:1_{643F6BE4-BB32-2B41-90A2-8CF57DB9598F}" xr6:coauthVersionLast="45" xr6:coauthVersionMax="45" xr10:uidLastSave="{00000000-0000-0000-0000-000000000000}"/>
  <workbookProtection workbookAlgorithmName="SHA-512" workbookHashValue="I+nWcFnasaxLe3ZmfWqbdf4dyCjBguyF5+vetnxpAdVgyy+m7qOQdrAs3TC62rqjEUJ74VFu4gJqmyv4/yF6sw==" workbookSaltValue="K9E7ELVl6APo+oQkx+AdnA==" workbookSpinCount="100000" lockStructure="1"/>
  <bookViews>
    <workbookView xWindow="0" yWindow="0" windowWidth="28800" windowHeight="18000" tabRatio="530" activeTab="2" xr2:uid="{00000000-000D-0000-FFFF-FFFF00000000}"/>
  </bookViews>
  <sheets>
    <sheet name="EUR - Safespring priser 2020" sheetId="8" state="hidden" r:id="rId1"/>
    <sheet name="SEK - Safespring priser 2020" sheetId="3" state="hidden" r:id="rId2"/>
    <sheet name="NOK - Safespring priser 2020" sheetId="10" r:id="rId3"/>
    <sheet name="SUNET SEK - priser 2020" sheetId="9" state="hidden" r:id="rId4"/>
    <sheet name="Data" sheetId="4" state="hidden" r:id="rId5"/>
  </sheets>
  <definedNames>
    <definedName name="BAAS_large_EUR">Data!$F$27</definedName>
    <definedName name="BAAS_large_SEK">Data!$E$27</definedName>
    <definedName name="BAAS_large.fee_EUR">Data!$F$25</definedName>
    <definedName name="BAAS_large.fee_SEK">Data!$E$25</definedName>
    <definedName name="BAAS_on.demand_EUR">Data!$F$23</definedName>
    <definedName name="BAAS_on.demand_SEK">Data!$E$23</definedName>
    <definedName name="BAAS_small_EUR">Data!$F$26</definedName>
    <definedName name="BAAS_small_SEK">Data!$E$26</definedName>
    <definedName name="BAAS_small.fee_EUR">Data!$F$24</definedName>
    <definedName name="BAAS_small.fee_SEK">Data!$E$24</definedName>
    <definedName name="EUR">Data!$K$4</definedName>
    <definedName name="IAAS_gpu_EUR">Data!$F$7</definedName>
    <definedName name="IAAS_gpu_SEK">Data!$E$7</definedName>
    <definedName name="IAAS_gpu_SUNET">Data!$G$7</definedName>
    <definedName name="IAAS_nvme_EUR">Data!$F$6</definedName>
    <definedName name="IAAS_nvme_SEK">Data!$E$6</definedName>
    <definedName name="IAAS_nvme_SUNET">Data!$G$6</definedName>
    <definedName name="IAAS_pcpu_EUR">Data!$F$8</definedName>
    <definedName name="IAAS_pcpu_SEK">Data!$E$8</definedName>
    <definedName name="IAAS_pcpu_SUNET">Data!$G$8</definedName>
    <definedName name="IAAS_ram_EUR">Data!$F$3</definedName>
    <definedName name="IAAS_ram_SEK">Data!$E$3</definedName>
    <definedName name="IAAS_ram_SUNET">Data!$G$3</definedName>
    <definedName name="IAAS_ram_sunet_b_m">Data!$G$9</definedName>
    <definedName name="IAAS_ssd_EUR">Data!$F$4</definedName>
    <definedName name="IAAS_ssd_SEK">Data!$E$4</definedName>
    <definedName name="IAAS_ssd_SUNET">Data!$G$11</definedName>
    <definedName name="IAAS_vcpu_EUR">Data!$F$5</definedName>
    <definedName name="IAAS_vcpu_SEK">Data!$E$5</definedName>
    <definedName name="IAAS_vcpu_SUNET">Data!$G$5</definedName>
    <definedName name="IAAS_vcpu_sunet_b_m">Data!$G$10</definedName>
    <definedName name="INSTANCE_p1.2xlarge.16d_EUR">Data!$F$14</definedName>
    <definedName name="INSTANCE_p1.2xlarge.16d_SEK">Data!$E$14</definedName>
    <definedName name="INSTANCE_p1.4xlarge.16d_EUR">Data!$F$15</definedName>
    <definedName name="INSTANCE_p1.4xlarge.16d_SEK">Data!$E$15</definedName>
    <definedName name="INSTANCE_p1.8xlarge.32d_EUR">Data!$F$16</definedName>
    <definedName name="INSTANCE_p1.8xlarge.32d_SEK">Data!$E$16</definedName>
    <definedName name="NET_byoip_EUR">Data!$F$44</definedName>
    <definedName name="NET_byoip_SEK">Data!$E$44</definedName>
    <definedName name="NET_egress_EUR">Data!$F$40</definedName>
    <definedName name="NET_egress_SEK">Data!$E$40</definedName>
    <definedName name="NET_ingress_EUR">Data!$F$39</definedName>
    <definedName name="NET_ingress_SEK">Data!$E$39</definedName>
    <definedName name="NET_mgn.slb_EUR">Data!$F$41</definedName>
    <definedName name="NET_mgn.slb_SEK">Data!$E$41</definedName>
    <definedName name="NET_publicv4_EUR">Data!$F$37</definedName>
    <definedName name="NET_publicv4_SEK">Data!$E$37</definedName>
    <definedName name="NET_publicv6_EUR">Data!$F$38</definedName>
    <definedName name="NET_publicv6_SEK">Data!$E$38</definedName>
    <definedName name="NET_rdns_EUR">Data!$F$42</definedName>
    <definedName name="NET_rdns_SEK">Data!$E$42</definedName>
    <definedName name="NET_saferoute_EUR">Data!$F$43</definedName>
    <definedName name="NET_saferoute_SEK">Data!$E$43</definedName>
    <definedName name="NOK">Data!$K$5</definedName>
    <definedName name="PAAS_man.elasticsearch_EUR">Data!$F$58</definedName>
    <definedName name="PAAS_man.elasticsearch_SEK">Data!$E$58</definedName>
    <definedName name="PAAS_man.kubernetes_EUR">Data!$F$56</definedName>
    <definedName name="PAAS_man.kubernetes_SEK">Data!$E$56</definedName>
    <definedName name="PAAS_man.mariadb_EUR">Data!$F$61</definedName>
    <definedName name="PAAS_man.mariadb_SEK">Data!$E$61</definedName>
    <definedName name="PAAS_man.nats_EUR">Data!$F$60</definedName>
    <definedName name="PAAS_man.nats_SEK">Data!$E$60</definedName>
    <definedName name="PAAS_man.postgres.sql_EUR">Data!$F$57</definedName>
    <definedName name="PAAS_man.postgres.sql_SEK">Data!$E$57</definedName>
    <definedName name="PAAS_man.redis_EUR">Data!$F$59</definedName>
    <definedName name="PAAS_man.redis_SEK">Data!$E$59</definedName>
    <definedName name="PRICE_total">'EUR - Safespring priser 2020'!$J$219</definedName>
    <definedName name="PS_cloudarch.jun_EUR">Data!$F$66</definedName>
    <definedName name="PS_cloudarch.jun_SEK">Data!$E$66</definedName>
    <definedName name="PS_cloudarch.sen_EUR">Data!$F$67</definedName>
    <definedName name="PS_cloudarch.sen_SEK">Data!$E$67</definedName>
    <definedName name="PS_consult.jun_EUR">Data!$F$64</definedName>
    <definedName name="PS_consult.jun_SEK">Data!$E$64</definedName>
    <definedName name="PS_consult.sen_EUR">Data!$F$65</definedName>
    <definedName name="PS_consult.sen_SEK">Data!$E$65</definedName>
    <definedName name="PS_pm.jun_EUR">Data!$F$68</definedName>
    <definedName name="PS_pm.jun_SEK">Data!$E$68</definedName>
    <definedName name="PS_pm.sen_EUR">Data!$F$69</definedName>
    <definedName name="PS_pm.sen_SEK">Data!$E$69</definedName>
    <definedName name="S3_storage.100_EUR">Data!$F$31</definedName>
    <definedName name="S3_storage.100_SEK">Data!$E$31</definedName>
    <definedName name="S3_storage.100_SUNET">Data!$G$31</definedName>
    <definedName name="S3_storage.1000_EUR">Data!$F$33</definedName>
    <definedName name="S3_storage.1000_SEK">Data!$E$33</definedName>
    <definedName name="S3_storage.1000_SUNET">Data!$G$33</definedName>
    <definedName name="S3_storage.50_EUR">Data!$F$30</definedName>
    <definedName name="S3_storage.50_SEK">Data!$E$30</definedName>
    <definedName name="S3_storage.50_SUNET">Data!$G$30</definedName>
    <definedName name="S3_storage.500_EUR">Data!$F$32</definedName>
    <definedName name="S3_storage.500_SEK">Data!$E$32</definedName>
    <definedName name="S3_storage.500_SUNET">Data!$G$32</definedName>
    <definedName name="S3_storage.quote_EUR">Data!$F$34</definedName>
    <definedName name="S3_storage.quote_SEK">Data!$E$34</definedName>
    <definedName name="S3_storage.quote_SUNET">Data!$G$34</definedName>
    <definedName name="Safespring.price.increase">Data!$K$14</definedName>
    <definedName name="SEK">Data!$K$3</definedName>
    <definedName name="sunet.price.increase">Data!$K$15</definedName>
    <definedName name="SW_backup.ninja_EUR">Data!$F$53</definedName>
    <definedName name="SW_backup.ninja_SEK">Data!$E$53</definedName>
    <definedName name="SW_cluster.control_EUR">Data!$F$52</definedName>
    <definedName name="SW_cluster.control_SEK">Data!$E$52</definedName>
    <definedName name="SW_ms.sql.ser_EUR">Data!$F$48</definedName>
    <definedName name="SW_ms.sql.ser_SEK">Data!$E$48</definedName>
    <definedName name="SW_nextcloud_EUR">Data!$F$50</definedName>
    <definedName name="SW_nextcloud_SEK">Data!$E$50</definedName>
    <definedName name="SW_stackn_EUR">Data!$F$49</definedName>
    <definedName name="SW_stackn_SEK">Data!$E$49</definedName>
    <definedName name="SW_suse_EUR">Data!$F$51</definedName>
    <definedName name="SW_suse_SEK">Data!$E$51</definedName>
    <definedName name="SW_suse_SEUR">Data!$F$51</definedName>
    <definedName name="SW_win.ser.201X_EUR">Data!$F$47</definedName>
    <definedName name="SW_win.ser.201X_SEK">Data!$E$47</definedName>
    <definedName name="_xlnm.Print_Area" localSheetId="0">'EUR - Safespring priser 2020'!$I$41:$K$59</definedName>
    <definedName name="_xlnm.Print_Area" localSheetId="2">'NOK - Safespring priser 2020'!$A$1:$O$222</definedName>
    <definedName name="_xlnm.Print_Area" localSheetId="1">'SEK - Safespring priser 2020'!$A$1:$N$299</definedName>
    <definedName name="_xlnm.Print_Area" localSheetId="3">'SUNET SEK - priser 2020'!$A$1:$N$246</definedName>
    <definedName name="VOLUME_fast_EUR">Data!$F$20</definedName>
    <definedName name="VOLUME_fast_SEK">Data!$E$20</definedName>
    <definedName name="VOLUME_fast_SUNET">Data!$G$20</definedName>
    <definedName name="VOLUME_large_EUR">Data!$F$19</definedName>
    <definedName name="VOLUME_large_SEK">Data!$E$19</definedName>
    <definedName name="VOLUME_large_SUNET">Data!$G$19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0" l="1"/>
  <c r="D10" i="10"/>
  <c r="D10" i="8"/>
  <c r="N155" i="10"/>
  <c r="N154" i="10"/>
  <c r="N153" i="10"/>
  <c r="H120" i="10"/>
  <c r="N119" i="10"/>
  <c r="N118" i="10"/>
  <c r="D100" i="10"/>
  <c r="J84" i="10"/>
  <c r="K77" i="10"/>
  <c r="J77" i="10"/>
  <c r="I77" i="10"/>
  <c r="L75" i="10"/>
  <c r="K69" i="10"/>
  <c r="J69" i="10"/>
  <c r="I69" i="10"/>
  <c r="L67" i="10"/>
  <c r="L65" i="10"/>
  <c r="K60" i="10"/>
  <c r="J60" i="10"/>
  <c r="I60" i="10"/>
  <c r="K36" i="10"/>
  <c r="J36" i="10"/>
  <c r="I36" i="10"/>
  <c r="K94" i="9" l="1"/>
  <c r="J101" i="9"/>
  <c r="I94" i="9"/>
  <c r="K60" i="9"/>
  <c r="J60" i="9"/>
  <c r="I60" i="9"/>
  <c r="K86" i="9"/>
  <c r="I86" i="9"/>
  <c r="J86" i="9"/>
  <c r="K121" i="9" l="1" a="1"/>
  <c r="K121" i="9" s="1"/>
  <c r="D117" i="9"/>
  <c r="D116" i="9"/>
  <c r="D115" i="9"/>
  <c r="D114" i="9"/>
  <c r="D113" i="9"/>
  <c r="F121" i="9" s="1" a="1"/>
  <c r="F121" i="9" s="1"/>
  <c r="M121" i="9" s="1"/>
  <c r="K36" i="9"/>
  <c r="J36" i="9"/>
  <c r="I36" i="9"/>
  <c r="H83" i="9"/>
  <c r="G83" i="9" s="1"/>
  <c r="G3" i="4"/>
  <c r="G4" i="4"/>
  <c r="G5" i="4"/>
  <c r="H85" i="9" s="1"/>
  <c r="G85" i="9" s="1"/>
  <c r="G6" i="4"/>
  <c r="H42" i="9" s="1"/>
  <c r="G7" i="4"/>
  <c r="G8" i="4"/>
  <c r="G9" i="4"/>
  <c r="G10" i="4"/>
  <c r="H30" i="9" s="1"/>
  <c r="G11" i="4"/>
  <c r="E3" i="4"/>
  <c r="F3" i="4"/>
  <c r="E5" i="4"/>
  <c r="F5" i="4"/>
  <c r="H82" i="9" l="1"/>
  <c r="H68" i="9"/>
  <c r="H72" i="9"/>
  <c r="H76" i="9"/>
  <c r="H80" i="9"/>
  <c r="H67" i="9"/>
  <c r="H75" i="9"/>
  <c r="H65" i="9"/>
  <c r="H69" i="9"/>
  <c r="H73" i="9"/>
  <c r="H77" i="9"/>
  <c r="H81" i="9"/>
  <c r="H71" i="9"/>
  <c r="H66" i="9"/>
  <c r="H70" i="9"/>
  <c r="H74" i="9"/>
  <c r="H78" i="9"/>
  <c r="H41" i="9"/>
  <c r="G41" i="9" s="1"/>
  <c r="H79" i="9"/>
  <c r="H84" i="9"/>
  <c r="G84" i="9" s="1"/>
  <c r="M82" i="9"/>
  <c r="G82" i="9"/>
  <c r="M85" i="9"/>
  <c r="M83" i="9"/>
  <c r="E121" i="9"/>
  <c r="H26" i="9"/>
  <c r="H33" i="9"/>
  <c r="H29" i="9"/>
  <c r="H28" i="9"/>
  <c r="H35" i="9"/>
  <c r="H31" i="9"/>
  <c r="H27" i="9"/>
  <c r="H32" i="9"/>
  <c r="H34" i="9"/>
  <c r="H25" i="9"/>
  <c r="G73" i="9" l="1"/>
  <c r="M73" i="9"/>
  <c r="G78" i="9"/>
  <c r="M78" i="9"/>
  <c r="G71" i="9"/>
  <c r="M71" i="9"/>
  <c r="G69" i="9"/>
  <c r="M69" i="9"/>
  <c r="G80" i="9"/>
  <c r="M80" i="9"/>
  <c r="G66" i="9"/>
  <c r="M66" i="9"/>
  <c r="G68" i="9"/>
  <c r="M68" i="9"/>
  <c r="G74" i="9"/>
  <c r="M74" i="9"/>
  <c r="G81" i="9"/>
  <c r="M81" i="9"/>
  <c r="G65" i="9"/>
  <c r="M65" i="9"/>
  <c r="G76" i="9"/>
  <c r="M76" i="9"/>
  <c r="M86" i="9" s="1"/>
  <c r="G67" i="9"/>
  <c r="M67" i="9"/>
  <c r="M84" i="9"/>
  <c r="G79" i="9"/>
  <c r="M79" i="9"/>
  <c r="G70" i="9"/>
  <c r="M70" i="9"/>
  <c r="G77" i="9"/>
  <c r="M77" i="9"/>
  <c r="G75" i="9"/>
  <c r="M75" i="9"/>
  <c r="G72" i="9"/>
  <c r="M72" i="9"/>
  <c r="E4" i="4"/>
  <c r="F4" i="4"/>
  <c r="F8" i="4"/>
  <c r="E6" i="4"/>
  <c r="F6" i="4"/>
  <c r="E7" i="4"/>
  <c r="F7" i="4"/>
  <c r="E8" i="4"/>
  <c r="H57" i="10" l="1"/>
  <c r="H53" i="10"/>
  <c r="H49" i="10"/>
  <c r="H45" i="10"/>
  <c r="H41" i="10"/>
  <c r="H54" i="10"/>
  <c r="H65" i="10"/>
  <c r="H56" i="10"/>
  <c r="H52" i="10"/>
  <c r="H48" i="10"/>
  <c r="H44" i="10"/>
  <c r="H68" i="10"/>
  <c r="H66" i="10"/>
  <c r="H58" i="10"/>
  <c r="H50" i="10"/>
  <c r="H46" i="10"/>
  <c r="H59" i="10"/>
  <c r="H55" i="10"/>
  <c r="H51" i="10"/>
  <c r="H47" i="10"/>
  <c r="H43" i="10"/>
  <c r="H67" i="10"/>
  <c r="H42" i="10"/>
  <c r="H25" i="3"/>
  <c r="H33" i="10"/>
  <c r="H29" i="10"/>
  <c r="H30" i="10"/>
  <c r="H32" i="10"/>
  <c r="H28" i="10"/>
  <c r="H34" i="10"/>
  <c r="H35" i="10"/>
  <c r="H31" i="10"/>
  <c r="H27" i="10"/>
  <c r="H26" i="10"/>
  <c r="G20" i="4"/>
  <c r="G19" i="4"/>
  <c r="H137" i="9"/>
  <c r="N136" i="9"/>
  <c r="N135" i="9"/>
  <c r="J94" i="9"/>
  <c r="L92" i="9"/>
  <c r="G26" i="10" l="1"/>
  <c r="M26" i="10"/>
  <c r="M42" i="10"/>
  <c r="G42" i="10"/>
  <c r="M35" i="10"/>
  <c r="G35" i="10"/>
  <c r="G30" i="10"/>
  <c r="M30" i="10"/>
  <c r="M47" i="10"/>
  <c r="G47" i="10"/>
  <c r="M46" i="10"/>
  <c r="G46" i="10"/>
  <c r="M68" i="10"/>
  <c r="G68" i="10"/>
  <c r="M56" i="10"/>
  <c r="G56" i="10"/>
  <c r="M45" i="10"/>
  <c r="G45" i="10"/>
  <c r="M25" i="10"/>
  <c r="G25" i="10"/>
  <c r="M50" i="10"/>
  <c r="G50" i="10"/>
  <c r="G65" i="10"/>
  <c r="M65" i="10"/>
  <c r="M27" i="10"/>
  <c r="G27" i="10"/>
  <c r="M28" i="10"/>
  <c r="G28" i="10"/>
  <c r="M29" i="10"/>
  <c r="G29" i="10"/>
  <c r="G67" i="10"/>
  <c r="M67" i="10"/>
  <c r="M55" i="10"/>
  <c r="G55" i="10"/>
  <c r="M58" i="10"/>
  <c r="G58" i="10"/>
  <c r="M48" i="10"/>
  <c r="G48" i="10"/>
  <c r="M54" i="10"/>
  <c r="G54" i="10"/>
  <c r="M53" i="10"/>
  <c r="G53" i="10"/>
  <c r="G34" i="10"/>
  <c r="M34" i="10"/>
  <c r="M51" i="10"/>
  <c r="G51" i="10"/>
  <c r="M44" i="10"/>
  <c r="G44" i="10"/>
  <c r="M49" i="10"/>
  <c r="G49" i="10"/>
  <c r="M31" i="10"/>
  <c r="G31" i="10"/>
  <c r="M32" i="10"/>
  <c r="G32" i="10"/>
  <c r="M33" i="10"/>
  <c r="G33" i="10"/>
  <c r="M43" i="10"/>
  <c r="G43" i="10"/>
  <c r="M59" i="10"/>
  <c r="G59" i="10"/>
  <c r="G66" i="10"/>
  <c r="M66" i="10"/>
  <c r="M52" i="10"/>
  <c r="G52" i="10"/>
  <c r="M41" i="10"/>
  <c r="M60" i="10" s="1"/>
  <c r="G41" i="10"/>
  <c r="M57" i="10"/>
  <c r="G57" i="10"/>
  <c r="H47" i="9"/>
  <c r="H55" i="9"/>
  <c r="H45" i="9"/>
  <c r="H52" i="9"/>
  <c r="H44" i="9"/>
  <c r="H59" i="9"/>
  <c r="H51" i="9"/>
  <c r="H43" i="9"/>
  <c r="H56" i="9"/>
  <c r="H48" i="9"/>
  <c r="H58" i="9"/>
  <c r="H54" i="9"/>
  <c r="H50" i="9"/>
  <c r="H46" i="9"/>
  <c r="H57" i="9"/>
  <c r="H53" i="9"/>
  <c r="H49" i="9"/>
  <c r="M69" i="10" l="1"/>
  <c r="M36" i="10"/>
  <c r="L67" i="3"/>
  <c r="L65" i="3"/>
  <c r="L67" i="8"/>
  <c r="L68" i="8"/>
  <c r="L65" i="8"/>
  <c r="L66" i="8"/>
  <c r="L43" i="8"/>
  <c r="L44" i="8"/>
  <c r="L45" i="8" s="1"/>
  <c r="L46" i="8" s="1"/>
  <c r="L47" i="8" s="1"/>
  <c r="L48" i="8" s="1"/>
  <c r="L49" i="8" s="1"/>
  <c r="L50" i="8" s="1"/>
  <c r="L51" i="8" s="1"/>
  <c r="L52" i="8" s="1"/>
  <c r="L53" i="8" s="1"/>
  <c r="L41" i="8"/>
  <c r="L42" i="8"/>
  <c r="H120" i="8"/>
  <c r="J84" i="8"/>
  <c r="K77" i="8"/>
  <c r="J77" i="8"/>
  <c r="I77" i="8"/>
  <c r="K69" i="8"/>
  <c r="J69" i="8"/>
  <c r="I69" i="8"/>
  <c r="K60" i="8"/>
  <c r="J60" i="8"/>
  <c r="I60" i="8"/>
  <c r="K36" i="8"/>
  <c r="J36" i="8"/>
  <c r="I36" i="8"/>
  <c r="H120" i="3"/>
  <c r="J84" i="3"/>
  <c r="K77" i="3"/>
  <c r="J77" i="3"/>
  <c r="I77" i="3"/>
  <c r="K69" i="3"/>
  <c r="J69" i="3"/>
  <c r="I69" i="3"/>
  <c r="K60" i="3"/>
  <c r="J60" i="3"/>
  <c r="I60" i="3"/>
  <c r="K36" i="3"/>
  <c r="J36" i="3"/>
  <c r="I36" i="3"/>
  <c r="F65" i="4"/>
  <c r="N186" i="8" s="1"/>
  <c r="F66" i="4"/>
  <c r="N187" i="8" s="1"/>
  <c r="F67" i="4"/>
  <c r="N188" i="8" s="1"/>
  <c r="F68" i="4"/>
  <c r="N189" i="8" s="1"/>
  <c r="F69" i="4"/>
  <c r="N190" i="8" s="1"/>
  <c r="F64" i="4"/>
  <c r="N185" i="8" s="1"/>
  <c r="F40" i="4"/>
  <c r="F41" i="4"/>
  <c r="F37" i="4"/>
  <c r="D61" i="4"/>
  <c r="D60" i="4"/>
  <c r="D59" i="4"/>
  <c r="D58" i="4"/>
  <c r="D57" i="4"/>
  <c r="D56" i="4"/>
  <c r="N155" i="8"/>
  <c r="E64" i="4"/>
  <c r="N185" i="10" s="1"/>
  <c r="E69" i="4"/>
  <c r="N190" i="10" s="1"/>
  <c r="E68" i="4"/>
  <c r="E67" i="4"/>
  <c r="E66" i="4"/>
  <c r="E65" i="4"/>
  <c r="N186" i="10" s="1"/>
  <c r="N155" i="3"/>
  <c r="N154" i="3"/>
  <c r="N153" i="3"/>
  <c r="N189" i="3" l="1"/>
  <c r="N189" i="10"/>
  <c r="N188" i="3"/>
  <c r="N188" i="10"/>
  <c r="N187" i="3"/>
  <c r="N187" i="10"/>
  <c r="N185" i="3"/>
  <c r="N186" i="3"/>
  <c r="N190" i="3"/>
  <c r="L56" i="8"/>
  <c r="L57" i="8" s="1"/>
  <c r="L54" i="8"/>
  <c r="L55" i="8" s="1"/>
  <c r="L58" i="8" s="1"/>
  <c r="L59" i="8" s="1"/>
  <c r="N154" i="8"/>
  <c r="N153" i="8"/>
  <c r="N118" i="8"/>
  <c r="F25" i="4"/>
  <c r="D119" i="8" s="1"/>
  <c r="E25" i="4"/>
  <c r="F24" i="4"/>
  <c r="D118" i="8" s="1"/>
  <c r="E24" i="4"/>
  <c r="D100" i="8"/>
  <c r="N119" i="8"/>
  <c r="L75" i="8"/>
  <c r="L26" i="8"/>
  <c r="L27" i="8" s="1"/>
  <c r="L28" i="8" s="1"/>
  <c r="L29" i="8" s="1"/>
  <c r="L30" i="8" s="1"/>
  <c r="L31" i="8" s="1"/>
  <c r="E34" i="4"/>
  <c r="E30" i="4"/>
  <c r="D96" i="10" s="1"/>
  <c r="F104" i="10" s="1" a="1"/>
  <c r="F104" i="10" s="1"/>
  <c r="E31" i="4"/>
  <c r="D97" i="10" s="1"/>
  <c r="E32" i="4"/>
  <c r="D98" i="10" s="1"/>
  <c r="E33" i="4"/>
  <c r="D99" i="10" s="1"/>
  <c r="F32" i="4"/>
  <c r="D98" i="8" s="1"/>
  <c r="F30" i="4"/>
  <c r="D96" i="8" s="1"/>
  <c r="F33" i="4"/>
  <c r="D99" i="8" s="1"/>
  <c r="F31" i="4"/>
  <c r="D97" i="8" s="1"/>
  <c r="F15" i="4"/>
  <c r="H75" i="8" s="1"/>
  <c r="E15" i="4"/>
  <c r="H75" i="10" s="1"/>
  <c r="F27" i="4"/>
  <c r="F119" i="8" s="1"/>
  <c r="E27" i="4"/>
  <c r="F119" i="10" s="1"/>
  <c r="G75" i="10" l="1"/>
  <c r="M75" i="10"/>
  <c r="E104" i="10" a="1"/>
  <c r="E104" i="10" s="1"/>
  <c r="N104" i="10" a="1"/>
  <c r="N104" i="10" s="1"/>
  <c r="N105" i="10" s="1"/>
  <c r="M216" i="10" s="1"/>
  <c r="D100" i="3"/>
  <c r="H92" i="9"/>
  <c r="D96" i="3"/>
  <c r="H46" i="8"/>
  <c r="H53" i="8"/>
  <c r="H56" i="8"/>
  <c r="H58" i="8"/>
  <c r="H26" i="8"/>
  <c r="H44" i="8"/>
  <c r="H52" i="8"/>
  <c r="H41" i="8"/>
  <c r="H45" i="8"/>
  <c r="H48" i="8"/>
  <c r="H50" i="8"/>
  <c r="H55" i="8"/>
  <c r="H54" i="8"/>
  <c r="H57" i="8"/>
  <c r="H42" i="8"/>
  <c r="H35" i="8"/>
  <c r="H43" i="8"/>
  <c r="H47" i="8"/>
  <c r="H49" i="8"/>
  <c r="H51" i="8"/>
  <c r="H59" i="8"/>
  <c r="H25" i="8"/>
  <c r="H48" i="3"/>
  <c r="H51" i="3"/>
  <c r="H54" i="3"/>
  <c r="H57" i="3"/>
  <c r="H56" i="3"/>
  <c r="H44" i="3"/>
  <c r="H47" i="3"/>
  <c r="H50" i="3"/>
  <c r="H53" i="3"/>
  <c r="H41" i="3"/>
  <c r="H43" i="3"/>
  <c r="H46" i="3"/>
  <c r="H49" i="3"/>
  <c r="H59" i="3"/>
  <c r="H45" i="3"/>
  <c r="H52" i="3"/>
  <c r="H55" i="3"/>
  <c r="H58" i="3"/>
  <c r="H42" i="3"/>
  <c r="F136" i="9"/>
  <c r="L32" i="8"/>
  <c r="L33" i="8" s="1"/>
  <c r="L34" i="8" s="1"/>
  <c r="L35" i="8" s="1"/>
  <c r="H34" i="8"/>
  <c r="H30" i="8"/>
  <c r="H33" i="8"/>
  <c r="G33" i="8" s="1"/>
  <c r="H29" i="8"/>
  <c r="G29" i="8" s="1"/>
  <c r="H32" i="8"/>
  <c r="H28" i="8"/>
  <c r="H31" i="8"/>
  <c r="H27" i="8"/>
  <c r="F104" i="8" a="1"/>
  <c r="F104" i="8" s="1"/>
  <c r="D98" i="3"/>
  <c r="D99" i="3"/>
  <c r="D97" i="3"/>
  <c r="D14" i="4"/>
  <c r="F14" i="4" s="1"/>
  <c r="H74" i="8" s="1"/>
  <c r="H75" i="3"/>
  <c r="D16" i="4"/>
  <c r="F16" i="4" s="1"/>
  <c r="H76" i="8" s="1"/>
  <c r="F119" i="3"/>
  <c r="E14" i="4"/>
  <c r="K9" i="4"/>
  <c r="H35" i="3"/>
  <c r="H31" i="3"/>
  <c r="H27" i="3"/>
  <c r="H28" i="3"/>
  <c r="K10" i="4"/>
  <c r="H34" i="3"/>
  <c r="H30" i="3"/>
  <c r="H26" i="3"/>
  <c r="H32" i="3"/>
  <c r="H33" i="3"/>
  <c r="H29" i="3"/>
  <c r="N166" i="8"/>
  <c r="E61" i="4"/>
  <c r="M166" i="10" s="1"/>
  <c r="N165" i="8"/>
  <c r="E60" i="4"/>
  <c r="M165" i="10" s="1"/>
  <c r="N164" i="8"/>
  <c r="E59" i="4"/>
  <c r="M164" i="10" s="1"/>
  <c r="N163" i="8"/>
  <c r="E58" i="4"/>
  <c r="M163" i="10" s="1"/>
  <c r="N162" i="8"/>
  <c r="E57" i="4"/>
  <c r="M162" i="10" s="1"/>
  <c r="N161" i="8"/>
  <c r="E56" i="4"/>
  <c r="M161" i="10" s="1"/>
  <c r="E49" i="4"/>
  <c r="N152" i="10" s="1"/>
  <c r="F49" i="4"/>
  <c r="N152" i="8" s="1"/>
  <c r="E53" i="4"/>
  <c r="N156" i="10" s="1"/>
  <c r="F53" i="4"/>
  <c r="N156" i="8" s="1"/>
  <c r="F26" i="4"/>
  <c r="F118" i="8" s="1"/>
  <c r="E26" i="4"/>
  <c r="F23" i="4"/>
  <c r="F117" i="8" s="1"/>
  <c r="E23" i="4"/>
  <c r="F44" i="4"/>
  <c r="N145" i="8" s="1"/>
  <c r="E44" i="4"/>
  <c r="N145" i="10" s="1"/>
  <c r="F43" i="4"/>
  <c r="N144" i="8" s="1"/>
  <c r="F42" i="4"/>
  <c r="N143" i="8" s="1"/>
  <c r="E42" i="4"/>
  <c r="N143" i="10" s="1"/>
  <c r="N142" i="8"/>
  <c r="E41" i="4"/>
  <c r="N142" i="10" s="1"/>
  <c r="N141" i="8"/>
  <c r="E40" i="4"/>
  <c r="N141" i="10" s="1"/>
  <c r="F39" i="4"/>
  <c r="N140" i="8" s="1"/>
  <c r="E39" i="4"/>
  <c r="N140" i="10" s="1"/>
  <c r="F38" i="4"/>
  <c r="N139" i="8" s="1"/>
  <c r="E38" i="4"/>
  <c r="N139" i="10" s="1"/>
  <c r="N138" i="8"/>
  <c r="E37" i="4"/>
  <c r="N138" i="10" s="1"/>
  <c r="H91" i="9" l="1"/>
  <c r="H74" i="10"/>
  <c r="F134" i="9"/>
  <c r="N134" i="9" s="1"/>
  <c r="N137" i="9" s="1"/>
  <c r="M162" i="9" s="1"/>
  <c r="F117" i="10"/>
  <c r="N117" i="10" s="1"/>
  <c r="N120" i="10" s="1"/>
  <c r="M217" i="10" s="1"/>
  <c r="F135" i="9"/>
  <c r="F118" i="10"/>
  <c r="M91" i="9"/>
  <c r="G91" i="9"/>
  <c r="G52" i="3"/>
  <c r="M52" i="3"/>
  <c r="G59" i="3"/>
  <c r="M59" i="3"/>
  <c r="G47" i="3"/>
  <c r="M47" i="3"/>
  <c r="G48" i="3"/>
  <c r="M48" i="3"/>
  <c r="M41" i="9"/>
  <c r="M45" i="9"/>
  <c r="G45" i="9"/>
  <c r="M49" i="9"/>
  <c r="G49" i="9"/>
  <c r="M53" i="9"/>
  <c r="G53" i="9"/>
  <c r="M57" i="9"/>
  <c r="G57" i="9"/>
  <c r="G29" i="9"/>
  <c r="M29" i="9"/>
  <c r="G51" i="8"/>
  <c r="M51" i="8"/>
  <c r="G55" i="8"/>
  <c r="M55" i="8"/>
  <c r="M44" i="8"/>
  <c r="G44" i="8"/>
  <c r="M53" i="8"/>
  <c r="G53" i="8"/>
  <c r="G92" i="9"/>
  <c r="M92" i="9"/>
  <c r="G42" i="3"/>
  <c r="M42" i="3"/>
  <c r="G45" i="3"/>
  <c r="M45" i="3"/>
  <c r="G49" i="3"/>
  <c r="M49" i="3"/>
  <c r="G41" i="3"/>
  <c r="M41" i="3"/>
  <c r="G44" i="3"/>
  <c r="M44" i="3"/>
  <c r="G57" i="3"/>
  <c r="M57" i="3"/>
  <c r="G25" i="9"/>
  <c r="M25" i="9"/>
  <c r="M26" i="9"/>
  <c r="G26" i="9"/>
  <c r="M42" i="9"/>
  <c r="G42" i="9"/>
  <c r="M46" i="9"/>
  <c r="G46" i="9"/>
  <c r="M50" i="9"/>
  <c r="G50" i="9"/>
  <c r="M54" i="9"/>
  <c r="G54" i="9"/>
  <c r="M58" i="9"/>
  <c r="G58" i="9"/>
  <c r="M32" i="9"/>
  <c r="G32" i="9"/>
  <c r="M49" i="8"/>
  <c r="G49" i="8"/>
  <c r="M42" i="8"/>
  <c r="G42" i="8"/>
  <c r="M50" i="8"/>
  <c r="G50" i="8"/>
  <c r="M46" i="8"/>
  <c r="G46" i="8"/>
  <c r="N145" i="3"/>
  <c r="G58" i="3"/>
  <c r="M58" i="3"/>
  <c r="G46" i="3"/>
  <c r="M46" i="3"/>
  <c r="G53" i="3"/>
  <c r="M53" i="3"/>
  <c r="G54" i="3"/>
  <c r="M54" i="3"/>
  <c r="M30" i="9"/>
  <c r="G30" i="9"/>
  <c r="G28" i="9"/>
  <c r="M28" i="9"/>
  <c r="M43" i="9"/>
  <c r="G43" i="9"/>
  <c r="M47" i="9"/>
  <c r="G47" i="9"/>
  <c r="M51" i="9"/>
  <c r="G51" i="9"/>
  <c r="M55" i="9"/>
  <c r="G55" i="9"/>
  <c r="M59" i="9"/>
  <c r="G59" i="9"/>
  <c r="M33" i="9"/>
  <c r="G33" i="9"/>
  <c r="G47" i="8"/>
  <c r="M47" i="8"/>
  <c r="G57" i="8"/>
  <c r="M57" i="8"/>
  <c r="M48" i="8"/>
  <c r="G48" i="8"/>
  <c r="G41" i="8"/>
  <c r="M41" i="8"/>
  <c r="G58" i="8"/>
  <c r="M58" i="8"/>
  <c r="M122" i="9"/>
  <c r="M161" i="9" s="1"/>
  <c r="N138" i="3"/>
  <c r="N140" i="3"/>
  <c r="N142" i="3"/>
  <c r="N156" i="3"/>
  <c r="N139" i="3"/>
  <c r="N141" i="3"/>
  <c r="N143" i="3"/>
  <c r="N152" i="3"/>
  <c r="G55" i="3"/>
  <c r="M55" i="3"/>
  <c r="G43" i="3"/>
  <c r="M43" i="3"/>
  <c r="G50" i="3"/>
  <c r="M50" i="3"/>
  <c r="G56" i="3"/>
  <c r="M56" i="3"/>
  <c r="G51" i="3"/>
  <c r="M51" i="3"/>
  <c r="G34" i="9"/>
  <c r="M34" i="9"/>
  <c r="G31" i="9"/>
  <c r="M31" i="9"/>
  <c r="M44" i="9"/>
  <c r="G44" i="9"/>
  <c r="M48" i="9"/>
  <c r="G48" i="9"/>
  <c r="M52" i="9"/>
  <c r="G52" i="9"/>
  <c r="M56" i="9"/>
  <c r="G56" i="9"/>
  <c r="M27" i="9"/>
  <c r="G27" i="9"/>
  <c r="M35" i="9"/>
  <c r="G35" i="9"/>
  <c r="G59" i="8"/>
  <c r="M59" i="8"/>
  <c r="G43" i="8"/>
  <c r="M43" i="8"/>
  <c r="G54" i="8"/>
  <c r="M54" i="8"/>
  <c r="G45" i="8"/>
  <c r="M45" i="8"/>
  <c r="M52" i="8"/>
  <c r="G52" i="8"/>
  <c r="M56" i="8"/>
  <c r="G56" i="8"/>
  <c r="M33" i="8"/>
  <c r="M29" i="8"/>
  <c r="N117" i="8"/>
  <c r="N104" i="8" a="1"/>
  <c r="N104" i="8" s="1"/>
  <c r="N105" i="8" s="1"/>
  <c r="E104" i="8" a="1"/>
  <c r="E104" i="8" s="1"/>
  <c r="G75" i="8"/>
  <c r="M75" i="8"/>
  <c r="G25" i="8"/>
  <c r="M25" i="8"/>
  <c r="M32" i="8"/>
  <c r="G32" i="8"/>
  <c r="G31" i="8"/>
  <c r="M31" i="8"/>
  <c r="G26" i="8"/>
  <c r="M26" i="8"/>
  <c r="M166" i="3"/>
  <c r="G74" i="8"/>
  <c r="M74" i="8"/>
  <c r="M34" i="8"/>
  <c r="G34" i="8"/>
  <c r="M28" i="8"/>
  <c r="G28" i="8"/>
  <c r="G30" i="8"/>
  <c r="M30" i="8"/>
  <c r="G35" i="8"/>
  <c r="M35" i="8"/>
  <c r="G27" i="8"/>
  <c r="M27" i="8"/>
  <c r="F117" i="3"/>
  <c r="F118" i="3"/>
  <c r="E16" i="4"/>
  <c r="H76" i="10" s="1"/>
  <c r="H74" i="3"/>
  <c r="M161" i="3"/>
  <c r="M163" i="3"/>
  <c r="M165" i="3"/>
  <c r="M162" i="3"/>
  <c r="M164" i="3"/>
  <c r="E43" i="4"/>
  <c r="N144" i="10" s="1"/>
  <c r="G76" i="10" l="1"/>
  <c r="M76" i="10"/>
  <c r="M74" i="10"/>
  <c r="M77" i="10" s="1"/>
  <c r="G74" i="10"/>
  <c r="M60" i="9"/>
  <c r="H76" i="3"/>
  <c r="H93" i="9"/>
  <c r="M36" i="9"/>
  <c r="N144" i="3"/>
  <c r="M36" i="8"/>
  <c r="M60" i="8"/>
  <c r="N120" i="8"/>
  <c r="M217" i="8" s="1"/>
  <c r="M216" i="8"/>
  <c r="G76" i="8"/>
  <c r="M76" i="8"/>
  <c r="M77" i="8" s="1"/>
  <c r="F19" i="4"/>
  <c r="F82" i="8" s="1"/>
  <c r="F20" i="4"/>
  <c r="F83" i="8" s="1"/>
  <c r="E20" i="4"/>
  <c r="E19" i="4"/>
  <c r="E47" i="4"/>
  <c r="F47" i="4"/>
  <c r="E48" i="4"/>
  <c r="N151" i="10" s="1"/>
  <c r="F48" i="4"/>
  <c r="N151" i="8" s="1"/>
  <c r="F100" i="9" l="1"/>
  <c r="F83" i="10"/>
  <c r="F99" i="9"/>
  <c r="F82" i="10"/>
  <c r="N149" i="10"/>
  <c r="N68" i="10"/>
  <c r="N67" i="10"/>
  <c r="N35" i="10"/>
  <c r="N34" i="10"/>
  <c r="N33" i="10"/>
  <c r="N32" i="10"/>
  <c r="N31" i="10"/>
  <c r="N30" i="10"/>
  <c r="N29" i="10"/>
  <c r="N28" i="10"/>
  <c r="N27" i="10"/>
  <c r="N26" i="10"/>
  <c r="N25" i="10"/>
  <c r="N36" i="10" s="1"/>
  <c r="N66" i="10"/>
  <c r="N65" i="10"/>
  <c r="N76" i="10"/>
  <c r="N75" i="10"/>
  <c r="N150" i="10"/>
  <c r="N74" i="10"/>
  <c r="N57" i="10"/>
  <c r="N53" i="10"/>
  <c r="N49" i="10"/>
  <c r="N45" i="10"/>
  <c r="N41" i="10"/>
  <c r="N46" i="10"/>
  <c r="N56" i="10"/>
  <c r="N52" i="10"/>
  <c r="N48" i="10"/>
  <c r="N44" i="10"/>
  <c r="N54" i="10"/>
  <c r="N59" i="10"/>
  <c r="N55" i="10"/>
  <c r="N51" i="10"/>
  <c r="N47" i="10"/>
  <c r="N43" i="10"/>
  <c r="N58" i="10"/>
  <c r="N50" i="10"/>
  <c r="N42" i="10"/>
  <c r="N68" i="9"/>
  <c r="N70" i="9"/>
  <c r="N72" i="9"/>
  <c r="N76" i="9"/>
  <c r="N78" i="9"/>
  <c r="N75" i="9"/>
  <c r="N81" i="9"/>
  <c r="N66" i="9"/>
  <c r="N74" i="9"/>
  <c r="N80" i="9"/>
  <c r="N77" i="9"/>
  <c r="N67" i="9"/>
  <c r="N65" i="9"/>
  <c r="N69" i="9"/>
  <c r="N71" i="9"/>
  <c r="N73" i="9"/>
  <c r="N79" i="9"/>
  <c r="N82" i="9"/>
  <c r="N85" i="9"/>
  <c r="N84" i="9"/>
  <c r="N83" i="9"/>
  <c r="N151" i="3"/>
  <c r="H65" i="3"/>
  <c r="H67" i="3"/>
  <c r="H66" i="3"/>
  <c r="H68" i="3"/>
  <c r="N44" i="8"/>
  <c r="N47" i="8"/>
  <c r="N49" i="8"/>
  <c r="N54" i="8"/>
  <c r="N42" i="8"/>
  <c r="N76" i="8"/>
  <c r="N28" i="8"/>
  <c r="N32" i="8"/>
  <c r="N25" i="8"/>
  <c r="N45" i="8"/>
  <c r="N48" i="8"/>
  <c r="N43" i="8"/>
  <c r="N51" i="8"/>
  <c r="N53" i="8"/>
  <c r="N56" i="8"/>
  <c r="N59" i="8"/>
  <c r="N41" i="8"/>
  <c r="N74" i="8"/>
  <c r="N29" i="8"/>
  <c r="N33" i="8"/>
  <c r="N46" i="8"/>
  <c r="N50" i="8"/>
  <c r="N26" i="8"/>
  <c r="N34" i="8"/>
  <c r="N31" i="8"/>
  <c r="N66" i="8"/>
  <c r="N58" i="8"/>
  <c r="N30" i="8"/>
  <c r="N27" i="8"/>
  <c r="N67" i="8"/>
  <c r="N68" i="8"/>
  <c r="N65" i="8"/>
  <c r="N52" i="8"/>
  <c r="N55" i="8"/>
  <c r="N57" i="8"/>
  <c r="N75" i="8"/>
  <c r="N35" i="8"/>
  <c r="G93" i="9"/>
  <c r="M93" i="9"/>
  <c r="M94" i="9" s="1"/>
  <c r="N35" i="9"/>
  <c r="N34" i="9"/>
  <c r="N33" i="9"/>
  <c r="N32" i="9"/>
  <c r="N31" i="9"/>
  <c r="N30" i="9"/>
  <c r="N29" i="9"/>
  <c r="N28" i="9"/>
  <c r="N27" i="9"/>
  <c r="N26" i="9"/>
  <c r="N25" i="9"/>
  <c r="N50" i="9"/>
  <c r="N44" i="9"/>
  <c r="N49" i="9"/>
  <c r="N43" i="9"/>
  <c r="N93" i="9"/>
  <c r="N92" i="9"/>
  <c r="N46" i="9"/>
  <c r="N42" i="9"/>
  <c r="N91" i="9"/>
  <c r="N59" i="9"/>
  <c r="N58" i="9"/>
  <c r="N57" i="9"/>
  <c r="N56" i="9"/>
  <c r="N55" i="9"/>
  <c r="N54" i="9"/>
  <c r="N53" i="9"/>
  <c r="N52" i="9"/>
  <c r="N51" i="9"/>
  <c r="N48" i="9"/>
  <c r="N47" i="9"/>
  <c r="N45" i="9"/>
  <c r="N41" i="9"/>
  <c r="N43" i="3"/>
  <c r="N46" i="3"/>
  <c r="N49" i="3"/>
  <c r="N52" i="3"/>
  <c r="N59" i="3"/>
  <c r="N42" i="3"/>
  <c r="N44" i="3"/>
  <c r="N41" i="3"/>
  <c r="N66" i="3"/>
  <c r="N45" i="3"/>
  <c r="N48" i="3"/>
  <c r="N55" i="3"/>
  <c r="N58" i="3"/>
  <c r="N57" i="3"/>
  <c r="N150" i="3"/>
  <c r="N149" i="3"/>
  <c r="N68" i="3"/>
  <c r="N65" i="3"/>
  <c r="N51" i="3"/>
  <c r="N54" i="3"/>
  <c r="N67" i="3"/>
  <c r="N47" i="3"/>
  <c r="N50" i="3"/>
  <c r="N53" i="3"/>
  <c r="N56" i="3"/>
  <c r="E100" i="9"/>
  <c r="N100" i="9"/>
  <c r="E99" i="9"/>
  <c r="N99" i="9"/>
  <c r="H65" i="8"/>
  <c r="H66" i="8"/>
  <c r="H67" i="8"/>
  <c r="H68" i="8"/>
  <c r="N149" i="8"/>
  <c r="N150" i="8"/>
  <c r="F83" i="3"/>
  <c r="N82" i="8"/>
  <c r="E82" i="8"/>
  <c r="N76" i="3"/>
  <c r="N75" i="3"/>
  <c r="N74" i="3"/>
  <c r="F82" i="3"/>
  <c r="N27" i="3"/>
  <c r="N31" i="3"/>
  <c r="N35" i="3"/>
  <c r="N26" i="3"/>
  <c r="N28" i="3"/>
  <c r="N32" i="3"/>
  <c r="N30" i="3"/>
  <c r="N29" i="3"/>
  <c r="N33" i="3"/>
  <c r="N34" i="3"/>
  <c r="N25" i="3"/>
  <c r="E83" i="10" l="1"/>
  <c r="N83" i="10"/>
  <c r="N60" i="10"/>
  <c r="N77" i="10"/>
  <c r="N69" i="10"/>
  <c r="E82" i="10"/>
  <c r="N82" i="10"/>
  <c r="N84" i="10" s="1"/>
  <c r="M215" i="10" s="1"/>
  <c r="N60" i="9"/>
  <c r="N86" i="9"/>
  <c r="N94" i="9"/>
  <c r="N36" i="9"/>
  <c r="N69" i="8"/>
  <c r="G67" i="8"/>
  <c r="M67" i="8"/>
  <c r="N77" i="8"/>
  <c r="G65" i="3"/>
  <c r="M65" i="3"/>
  <c r="M66" i="8"/>
  <c r="G66" i="8"/>
  <c r="N60" i="8"/>
  <c r="N36" i="8"/>
  <c r="G68" i="3"/>
  <c r="M68" i="3"/>
  <c r="G65" i="8"/>
  <c r="M65" i="8"/>
  <c r="G66" i="3"/>
  <c r="M66" i="3"/>
  <c r="M68" i="8"/>
  <c r="G68" i="8"/>
  <c r="N101" i="9"/>
  <c r="G67" i="3"/>
  <c r="M67" i="3"/>
  <c r="N69" i="3"/>
  <c r="N36" i="3"/>
  <c r="N60" i="3"/>
  <c r="E83" i="8"/>
  <c r="N83" i="8"/>
  <c r="N84" i="8" s="1"/>
  <c r="N77" i="3"/>
  <c r="M218" i="10" l="1"/>
  <c r="J219" i="10" s="1"/>
  <c r="M163" i="9"/>
  <c r="M160" i="9"/>
  <c r="M69" i="8"/>
  <c r="M218" i="3"/>
  <c r="M218" i="8"/>
  <c r="M166" i="9" l="1"/>
  <c r="M167" i="9"/>
  <c r="J164" i="9"/>
  <c r="M215" i="8"/>
  <c r="J219" i="8" s="1"/>
  <c r="F104" i="3" l="1" a="1"/>
  <c r="F104" i="3" s="1"/>
  <c r="G74" i="3"/>
  <c r="G75" i="3"/>
  <c r="G76" i="3"/>
  <c r="N104" i="3" l="1" a="1"/>
  <c r="N104" i="3" s="1"/>
  <c r="E104" i="3" a="1"/>
  <c r="E104" i="3" s="1"/>
  <c r="L75" i="3"/>
  <c r="N105" i="3" l="1"/>
  <c r="M216" i="3" s="1"/>
  <c r="M75" i="3"/>
  <c r="M76" i="3"/>
  <c r="M74" i="3"/>
  <c r="M77" i="3" l="1"/>
  <c r="M25" i="3" l="1"/>
  <c r="M60" i="3" l="1"/>
  <c r="N118" i="3"/>
  <c r="N119" i="3"/>
  <c r="M69" i="3" l="1"/>
  <c r="K11" i="4" l="1"/>
  <c r="G35" i="3" l="1"/>
  <c r="G34" i="3"/>
  <c r="N117" i="3"/>
  <c r="N120" i="3" s="1"/>
  <c r="M217" i="3" s="1"/>
  <c r="N83" i="3"/>
  <c r="N82" i="3"/>
  <c r="E83" i="3"/>
  <c r="E82" i="3"/>
  <c r="G33" i="3"/>
  <c r="G32" i="3"/>
  <c r="G31" i="3"/>
  <c r="G30" i="3"/>
  <c r="G29" i="3"/>
  <c r="G28" i="3"/>
  <c r="G27" i="3"/>
  <c r="G25" i="3"/>
  <c r="N84" i="3" l="1"/>
  <c r="G26" i="3"/>
  <c r="M34" i="3"/>
  <c r="M35" i="3"/>
  <c r="M29" i="3"/>
  <c r="M33" i="3"/>
  <c r="M27" i="3"/>
  <c r="M31" i="3"/>
  <c r="M26" i="3"/>
  <c r="M30" i="3"/>
  <c r="M28" i="3"/>
  <c r="M32" i="3"/>
  <c r="M36" i="3" l="1"/>
  <c r="M215" i="3" s="1"/>
  <c r="J21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<sst xmlns="http://schemas.openxmlformats.org/spreadsheetml/2006/main" count="1506" uniqueCount="417">
  <si>
    <t>Kontakta Safespring</t>
  </si>
  <si>
    <t>Telefon: 08-55 10 73 56</t>
  </si>
  <si>
    <t>sales@safespring.se</t>
  </si>
  <si>
    <t>Safespring Compute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</si>
  <si>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</si>
  <si>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</si>
  <si>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</si>
  <si>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</si>
  <si>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vCPU</t>
  </si>
  <si>
    <t>RAM (GB)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</si>
  <si>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</si>
  <si>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</si>
  <si>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</si>
  <si>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</si>
  <si>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</si>
  <si>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</si>
  <si>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</si>
  <si>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</si>
  <si>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</t>
  </si>
  <si>
    <t>Instanser med lokal lagring (NVMe-disk)</t>
  </si>
  <si>
    <t xml:space="preserve">  Totalt</t>
  </si>
  <si>
    <t>Extra lagring</t>
  </si>
  <si>
    <t xml:space="preserve"> Typ</t>
  </si>
  <si>
    <t>Per GB/månad</t>
  </si>
  <si>
    <t>Extra GB</t>
  </si>
  <si>
    <t>N/A</t>
  </si>
  <si>
    <t>GB</t>
  </si>
  <si>
    <t>Safespring Storage</t>
  </si>
  <si>
    <t xml:space="preserve">   Alla priser angivna i SEK, exklusive moms.</t>
  </si>
  <si>
    <t xml:space="preserve">  Typ</t>
  </si>
  <si>
    <t>Antal GB</t>
  </si>
  <si>
    <t>Storage</t>
  </si>
  <si>
    <t>Safespring Backup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</si>
  <si>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</si>
  <si>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</si>
  <si>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</si>
  <si>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t>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</si>
  <si>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</si>
  <si>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</si>
  <si>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</si>
  <si>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</si>
  <si>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 xml:space="preserve">  Produkt</t>
  </si>
  <si>
    <t>Månadskostnad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</si>
  <si>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</si>
  <si>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</si>
  <si>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</si>
  <si>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</si>
  <si>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Nätverk och Mjukvara</t>
  </si>
  <si>
    <t xml:space="preserve"> Nätverk</t>
  </si>
  <si>
    <t>Debitering per</t>
  </si>
  <si>
    <t>Publik</t>
  </si>
  <si>
    <t>Prissättning</t>
  </si>
  <si>
    <t xml:space="preserve">  RAM</t>
  </si>
  <si>
    <t xml:space="preserve">  vCPU</t>
  </si>
  <si>
    <t>Antal</t>
  </si>
  <si>
    <t xml:space="preserve"> Totalt</t>
  </si>
  <si>
    <t>Currency Factor</t>
  </si>
  <si>
    <t>Instances with central block storage</t>
  </si>
  <si>
    <t>Instances</t>
  </si>
  <si>
    <t>Infrastructure</t>
  </si>
  <si>
    <t>Instanser med GPU och lokal lagring (NVME-disk)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</si>
  <si>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</si>
  <si>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</si>
  <si>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</si>
  <si>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</si>
  <si>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</si>
  <si>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</si>
  <si>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INSTANCE-p1.4xlarge.16d</t>
  </si>
  <si>
    <t>INSTANCE-p1.8xlarge.32d</t>
  </si>
  <si>
    <t>GPU</t>
  </si>
  <si>
    <t>CPU (p) core</t>
  </si>
  <si>
    <t>Per TB/månad</t>
  </si>
  <si>
    <t>Antal TB</t>
  </si>
  <si>
    <t>TB</t>
  </si>
  <si>
    <t>Be om offert</t>
  </si>
  <si>
    <t>S3-storage</t>
  </si>
  <si>
    <t>Windows Server 2016</t>
  </si>
  <si>
    <t>Windows Server 2019</t>
  </si>
  <si>
    <t>Microsft SQL Server</t>
  </si>
  <si>
    <t>Produkt ID</t>
  </si>
  <si>
    <t>Mjukvara och licenser</t>
  </si>
  <si>
    <t>SW-win.ser.2016</t>
  </si>
  <si>
    <t>SW-win.ser.2019</t>
  </si>
  <si>
    <t>Backup Ninja</t>
  </si>
  <si>
    <t>SW-backup.ninja</t>
  </si>
  <si>
    <t>Cluster Control Supported</t>
  </si>
  <si>
    <t>SW-ms.sql.ser</t>
  </si>
  <si>
    <t>Plattformstjänster</t>
  </si>
  <si>
    <t>Managed PostgresSQL</t>
  </si>
  <si>
    <t xml:space="preserve">Managed Elasticsearch </t>
  </si>
  <si>
    <t>Managed Redis</t>
  </si>
  <si>
    <t>Managed NATS</t>
  </si>
  <si>
    <t>PAAS-man.kubernetes</t>
  </si>
  <si>
    <t>PAAS-man.postgres.sql</t>
  </si>
  <si>
    <t>PAAS-man.elasticsearch</t>
  </si>
  <si>
    <t>PAAS-man.redis</t>
  </si>
  <si>
    <t>PAAS-man.nats</t>
  </si>
  <si>
    <t>0 - 50</t>
  </si>
  <si>
    <t>INSTANCE-b.tiny</t>
  </si>
  <si>
    <t>INSTANCE-b.small</t>
  </si>
  <si>
    <t>INSTANCE-b.medium</t>
  </si>
  <si>
    <t>INSTANCE-b.large</t>
  </si>
  <si>
    <t>INSTANCE-b.xlarge</t>
  </si>
  <si>
    <t>INSTANCE-m.small</t>
  </si>
  <si>
    <t>INSTANCE-m.medium</t>
  </si>
  <si>
    <t>INSTANCE-m.xlarge</t>
  </si>
  <si>
    <r>
      <t xml:space="preserve">BAAS-on.demand </t>
    </r>
    <r>
      <rPr>
        <sz val="11"/>
        <color theme="6"/>
        <rFont val="Montserrat Medium"/>
      </rPr>
      <t>**</t>
    </r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</si>
  <si>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</si>
  <si>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</si>
  <si>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t>NVME (GB)</t>
  </si>
  <si>
    <t>Prismodell baserat på antal lagrade TB, se tabellen nedan.</t>
  </si>
  <si>
    <t>SEK</t>
  </si>
  <si>
    <t>EUR</t>
  </si>
  <si>
    <t>NOK</t>
  </si>
  <si>
    <t>Valuta</t>
  </si>
  <si>
    <t>STACKn (Machine Learning), supported by provider</t>
  </si>
  <si>
    <t>Managed Kubernetes</t>
  </si>
  <si>
    <t>51 - 100</t>
  </si>
  <si>
    <t>101 - 500</t>
  </si>
  <si>
    <t>501 - 1000</t>
  </si>
  <si>
    <t xml:space="preserve">1001 - </t>
  </si>
  <si>
    <t>Begär offert</t>
  </si>
  <si>
    <t>Bring your own IP prefixes</t>
  </si>
  <si>
    <t>Datatrafik</t>
  </si>
  <si>
    <t>IPv6</t>
  </si>
  <si>
    <t>IPv4</t>
  </si>
  <si>
    <t xml:space="preserve">Managed SLB </t>
  </si>
  <si>
    <t>Saferoute / IP-VPN</t>
  </si>
  <si>
    <t>Reverse DNS names</t>
  </si>
  <si>
    <t>Mjukvara</t>
  </si>
  <si>
    <t>Nätverk</t>
  </si>
  <si>
    <t>Nextcloud Filesharing</t>
  </si>
  <si>
    <t>SW-nextcloud</t>
  </si>
  <si>
    <t>SW-stackn</t>
  </si>
  <si>
    <t>SW-cluster.control</t>
  </si>
  <si>
    <t>SW-suse</t>
  </si>
  <si>
    <t>SW-win.ser.2016 &amp; 2019</t>
  </si>
  <si>
    <t>SUSE Linux Enterprise Server, 12x5 Support</t>
  </si>
  <si>
    <t>SW-suse.linux</t>
  </si>
  <si>
    <t>PAAS-man.mariadb</t>
  </si>
  <si>
    <t>Managed MariaDB</t>
  </si>
  <si>
    <t>Cloud Infrastructure Consultant, junior expertise level</t>
  </si>
  <si>
    <t>Cloud infrastructure Consultant, senior expertise level</t>
  </si>
  <si>
    <t>Cloud Infrastructure Architect Consultant, junior expertise level</t>
  </si>
  <si>
    <t>Cloud Infrastructure Architect Consultant, senior expertise level</t>
  </si>
  <si>
    <t>Project Manager, junior expertise level</t>
  </si>
  <si>
    <t>Project Manager, senior expertise level</t>
  </si>
  <si>
    <t>Timme</t>
  </si>
  <si>
    <t>Konsulttjänster</t>
  </si>
  <si>
    <t>Utbildningar</t>
  </si>
  <si>
    <t>Tillfälle</t>
  </si>
  <si>
    <t>Längd</t>
  </si>
  <si>
    <t>En dag</t>
  </si>
  <si>
    <t>Fyra dagar</t>
  </si>
  <si>
    <t>Introduktion till "infrastruktur som tjänst"</t>
  </si>
  <si>
    <t>Molnstrategi för ledningsgrupper,</t>
  </si>
  <si>
    <t>Introduktion till moln-infrastrukturteknik,</t>
  </si>
  <si>
    <t>Modern DevOps och "microservices"</t>
  </si>
  <si>
    <t>Support och konsulttjänster</t>
  </si>
  <si>
    <t>Support</t>
  </si>
  <si>
    <t>Base IaaS Support</t>
  </si>
  <si>
    <t>Access to backchannel chat room with support and engineering</t>
  </si>
  <si>
    <t>Dedicated Service Manager with quarterly operations meetings</t>
  </si>
  <si>
    <t>SUPPORT-iaas.base</t>
  </si>
  <si>
    <t>SUPPORT-standard</t>
  </si>
  <si>
    <t>SUPPORT-premium</t>
  </si>
  <si>
    <t xml:space="preserve">  Kontakta Safespring för fullständig offert</t>
  </si>
  <si>
    <t>NET-publicv4</t>
  </si>
  <si>
    <t>NET-publicv6</t>
  </si>
  <si>
    <t>NET-byoip</t>
  </si>
  <si>
    <t>NET-mgn.slb</t>
  </si>
  <si>
    <t>NET-saferoute</t>
  </si>
  <si>
    <t>NET-rdns</t>
  </si>
  <si>
    <t>NET-ingress</t>
  </si>
  <si>
    <t>NET-egress</t>
  </si>
  <si>
    <t>1 TB/mån inkluderat per projekt (kostnadsfritt inom akademisk sektor)</t>
  </si>
  <si>
    <t>Instans</t>
  </si>
  <si>
    <t>Databas</t>
  </si>
  <si>
    <t>IP-adress</t>
  </si>
  <si>
    <t>Request a quote</t>
  </si>
  <si>
    <t>VOLUME-fast</t>
  </si>
  <si>
    <t>VOLUME-large</t>
  </si>
  <si>
    <t>SSD-backed 3-replica Ceph</t>
  </si>
  <si>
    <t>HDD-backed 3-replica Ceph</t>
  </si>
  <si>
    <t>Description</t>
  </si>
  <si>
    <t>Beskrivning</t>
  </si>
  <si>
    <t>BAAS-on.demand</t>
  </si>
  <si>
    <t>BAAS-small</t>
  </si>
  <si>
    <t>BAAS-large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</si>
  <si>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</si>
  <si>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</si>
  <si>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</si>
  <si>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</si>
  <si>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</si>
  <si>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</si>
  <si>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Objektlagring med standarden S3.</t>
  </si>
  <si>
    <t>S3-storage.1000</t>
  </si>
  <si>
    <t>S3-storage.500</t>
  </si>
  <si>
    <t>S3-storage.100</t>
  </si>
  <si>
    <t>S3-storage.50</t>
  </si>
  <si>
    <t>S3-storage.quote</t>
  </si>
  <si>
    <t>TRAIN-intro.iaas</t>
  </si>
  <si>
    <t>TRAIN-cxo.strategy</t>
  </si>
  <si>
    <t>TRAIN-intro.cloud</t>
  </si>
  <si>
    <t>TRAIN-devops.microservices</t>
  </si>
  <si>
    <t>PS-consult.jun</t>
  </si>
  <si>
    <t>PS-consult.sen</t>
  </si>
  <si>
    <t>PS-cloudarch.jun</t>
  </si>
  <si>
    <t>PS-cloudarch.sen</t>
  </si>
  <si>
    <t>PS-pm.jun</t>
  </si>
  <si>
    <t>PS-pm.sen</t>
  </si>
  <si>
    <t>INSTANCE-m.large</t>
  </si>
  <si>
    <t>Ask for quote</t>
  </si>
  <si>
    <t>BAAS-small.fee</t>
  </si>
  <si>
    <t>BAAS-large.fee</t>
  </si>
  <si>
    <t>Contact Safespring</t>
  </si>
  <si>
    <t>Currency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</si>
  <si>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</si>
  <si>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</si>
  <si>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Product ID</t>
  </si>
  <si>
    <t>Hourly</t>
  </si>
  <si>
    <t>Monthly</t>
  </si>
  <si>
    <t>Windows licenses</t>
  </si>
  <si>
    <t>SQL licenses</t>
  </si>
  <si>
    <t>Licenses</t>
  </si>
  <si>
    <t>Total</t>
  </si>
  <si>
    <t>Storage (GB)</t>
  </si>
  <si>
    <t>Instances with local storage (NVMe)</t>
  </si>
  <si>
    <t>Instances with GPU and local storage (NVMe)</t>
  </si>
  <si>
    <t>Extra Storage</t>
  </si>
  <si>
    <t>Per GB / Monthly</t>
  </si>
  <si>
    <t xml:space="preserve">  Object storage with S3 standard.</t>
  </si>
  <si>
    <t>Amount of TB</t>
  </si>
  <si>
    <t>Per TB/monthly</t>
  </si>
  <si>
    <t>Per TB / Monthly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</si>
  <si>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</si>
  <si>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</si>
  <si>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</si>
  <si>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</si>
  <si>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r>
      <t>Deduplication</t>
    </r>
    <r>
      <rPr>
        <sz val="14"/>
        <color theme="6"/>
        <rFont val="Hind Light"/>
      </rPr>
      <t>*</t>
    </r>
  </si>
  <si>
    <t>Per GB/month</t>
  </si>
  <si>
    <t>Monthly fee</t>
  </si>
  <si>
    <t>Network and software</t>
  </si>
  <si>
    <t xml:space="preserve"> Type</t>
  </si>
  <si>
    <t>Public</t>
  </si>
  <si>
    <t>Charge per</t>
  </si>
  <si>
    <t>Network</t>
  </si>
  <si>
    <t>Software and licenses</t>
  </si>
  <si>
    <t>Platform services</t>
  </si>
  <si>
    <t>Support and consulting</t>
  </si>
  <si>
    <t>Consulting</t>
  </si>
  <si>
    <t>Duration</t>
  </si>
  <si>
    <t>Price</t>
  </si>
  <si>
    <t>Occasion</t>
  </si>
  <si>
    <t>Hour</t>
  </si>
  <si>
    <t>Calculated price</t>
  </si>
  <si>
    <t>Contact Safespring for a full quote</t>
  </si>
  <si>
    <t xml:space="preserve">  Product</t>
  </si>
  <si>
    <t>Montly</t>
  </si>
  <si>
    <t>Bare metal compute</t>
  </si>
  <si>
    <t>Infrastructure as a service can run on a open source license or with a Windows license.</t>
  </si>
  <si>
    <t>Instance</t>
  </si>
  <si>
    <t>Total volume</t>
  </si>
  <si>
    <t>3 % of total volume</t>
  </si>
  <si>
    <t>* The support fee is charged at 3 % of the total volume with a minimum fee of 150 Euro per month.</t>
  </si>
  <si>
    <t>* The support fee is charged at 3 % of the total volume with a minimum fee of 1500 SEK per month.</t>
  </si>
  <si>
    <t xml:space="preserve">Instans </t>
  </si>
  <si>
    <t>INSTANCE-lb.tiny</t>
  </si>
  <si>
    <t>INSTANCE-lb.large.1d</t>
  </si>
  <si>
    <t>INSTANCE-lb.xlarge.1d</t>
  </si>
  <si>
    <t>INSTANCE-lb.2xlarge.1d</t>
  </si>
  <si>
    <t>INSTANCE-lb.2xlarge.2d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</si>
  <si>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</si>
  <si>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</si>
  <si>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</si>
  <si>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</si>
  <si>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</si>
  <si>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</si>
  <si>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</si>
  <si>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</si>
  <si>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</si>
  <si>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</si>
  <si>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</si>
  <si>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</si>
  <si>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</si>
  <si>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INSTANCE-lb.2xlarge.4d</t>
  </si>
  <si>
    <t>INSTANCE-b.2xlarge</t>
  </si>
  <si>
    <t>INSTANCE-m.2xlarge</t>
  </si>
  <si>
    <t>3x instanspris</t>
  </si>
  <si>
    <t>3x instance price</t>
  </si>
  <si>
    <t>Node</t>
  </si>
  <si>
    <t>Database</t>
  </si>
  <si>
    <t>Managed Elasticsearch + Grafana service</t>
  </si>
  <si>
    <t>Redis server</t>
  </si>
  <si>
    <t>Nats server</t>
  </si>
  <si>
    <t>Managed Kubernetes, for up to 20 nodes, 8x5 support</t>
  </si>
  <si>
    <t>1 TB / month included per project (no charges for the academic sector)</t>
  </si>
  <si>
    <t>Data transfer</t>
  </si>
  <si>
    <t>Price model based on the amount of terabyte stored at Safespring Storage</t>
  </si>
  <si>
    <t>Cloud backup solution for on-prem or cloud servers based on Spectrum Protect.</t>
  </si>
  <si>
    <t>sales@safespring.com</t>
  </si>
  <si>
    <t>3 % av total volym</t>
  </si>
  <si>
    <t>Total volym</t>
  </si>
  <si>
    <t>Totalt</t>
  </si>
  <si>
    <t>One day</t>
  </si>
  <si>
    <t>Four days</t>
  </si>
  <si>
    <t>Introduction to "infrastructure as a service"</t>
  </si>
  <si>
    <t>Cloud strategy for top management</t>
  </si>
  <si>
    <t>Introduction to cloud computing</t>
  </si>
  <si>
    <t>Modern DevOps and microservices</t>
  </si>
  <si>
    <t>Euro</t>
  </si>
  <si>
    <t>Phone: +46 855 10 73 56</t>
  </si>
  <si>
    <t>SUNET</t>
  </si>
  <si>
    <t>SUNET påslag</t>
  </si>
  <si>
    <t>Procent</t>
  </si>
  <si>
    <t>SUNETs påslag</t>
  </si>
  <si>
    <t>Safespring påslag</t>
  </si>
  <si>
    <t>IAAS-ram-sunet-b-m</t>
  </si>
  <si>
    <t>IAAS-vcpu-sunet-b-m</t>
  </si>
  <si>
    <t>IAAS-ssd-sunet</t>
  </si>
  <si>
    <t>lb.tiny</t>
  </si>
  <si>
    <t>lb.large.1d</t>
  </si>
  <si>
    <t>lb.xlarge.1d</t>
  </si>
  <si>
    <t>lb.2xlarge.1d</t>
  </si>
  <si>
    <t>lb.2xlarge.2d</t>
  </si>
  <si>
    <t>lb.2xlarge.4d</t>
  </si>
  <si>
    <t>lb.4xlarge.1d</t>
  </si>
  <si>
    <t>lb.4xlarge.2d</t>
  </si>
  <si>
    <t>lb.4xlarge.4d</t>
  </si>
  <si>
    <t>lm.2xlarge.1d</t>
  </si>
  <si>
    <t>lm.2xlarge.2d</t>
  </si>
  <si>
    <t>lm.2xlarge.4d</t>
  </si>
  <si>
    <t>lm.4xlarge.1d</t>
  </si>
  <si>
    <t>lm.4xlarge.2d</t>
  </si>
  <si>
    <t>lm.4xlarge.4d</t>
  </si>
  <si>
    <t>lm.large.1d</t>
  </si>
  <si>
    <t>lm.xlarge.1d</t>
  </si>
  <si>
    <t>Region</t>
  </si>
  <si>
    <t>STH-B</t>
  </si>
  <si>
    <t>SUNET med påslag</t>
  </si>
  <si>
    <t>SUNET Private Cloud</t>
  </si>
  <si>
    <t>&lt;300</t>
  </si>
  <si>
    <t>&gt;=300</t>
  </si>
  <si>
    <t>Per GB /månad</t>
  </si>
  <si>
    <t>&gt;=1000</t>
  </si>
  <si>
    <t>&gt;=2000</t>
  </si>
  <si>
    <t>SUNET Lagring i privat molntjänst</t>
  </si>
  <si>
    <t>Prismodell baserat på antal lagrade GB, se tabellen nedan.</t>
  </si>
  <si>
    <t>Minsta åtagande</t>
  </si>
  <si>
    <r>
      <t xml:space="preserve">Safespring Compute - </t>
    </r>
    <r>
      <rPr>
        <sz val="11"/>
        <color theme="1"/>
        <rFont val="Montserrat Light"/>
      </rPr>
      <t>Totalt efter avdrag för 12 månaders åtagande</t>
    </r>
  </si>
  <si>
    <r>
      <t xml:space="preserve">Safespring Compute - </t>
    </r>
    <r>
      <rPr>
        <sz val="11"/>
        <color theme="1"/>
        <rFont val="Montserrat Light"/>
      </rPr>
      <t>Totalt efter avdrag för 36 månaders åtagade</t>
    </r>
  </si>
  <si>
    <t>STO-1</t>
  </si>
  <si>
    <t>lb.small</t>
  </si>
  <si>
    <t>lb.medium.1d</t>
  </si>
  <si>
    <t>lm.small</t>
  </si>
  <si>
    <t>lm.medium.1d</t>
  </si>
  <si>
    <t>Priskalkylator 2020-07-02</t>
  </si>
  <si>
    <t>Training</t>
  </si>
  <si>
    <t>Priskalkylator 2020-09-23</t>
  </si>
  <si>
    <t>Price calculator 2020-09-23</t>
  </si>
  <si>
    <t>Priskalkulator 2020-09-23</t>
  </si>
  <si>
    <t>Infrastruktur kan kjøres med en gratis opensource-lisens eller med en Windows-lisens.</t>
  </si>
  <si>
    <t>Alle priser er oppgitt i NOK, eksklusiv mva.</t>
  </si>
  <si>
    <t>Per time</t>
  </si>
  <si>
    <t>Per måned</t>
  </si>
  <si>
    <t>Windows-lisenser</t>
  </si>
  <si>
    <t>SQL-lisenser</t>
  </si>
  <si>
    <t>Lisenser</t>
  </si>
  <si>
    <t>Instanser med GPU og lokal lagring (NVME-disk)</t>
  </si>
  <si>
    <t>Per GB/måned</t>
  </si>
  <si>
    <t>Ekstra GB</t>
  </si>
  <si>
    <t>Objektlagring med standard S3.</t>
  </si>
  <si>
    <t>Prismodell basert på antall lagrede TB, se tabellen nedenfor.</t>
  </si>
  <si>
    <r>
      <t xml:space="preserve">Instruksjoner: </t>
    </r>
    <r>
      <rPr>
        <sz val="11"/>
        <color rgb="FF414141"/>
        <rFont val="Montserrat Light"/>
      </rPr>
      <t>Fyll ut ønsket mengde i de fargede feltene.</t>
    </r>
  </si>
  <si>
    <t>Per TB/måned</t>
  </si>
  <si>
    <t>Beskrivelse</t>
  </si>
  <si>
    <t>Cloud backup-løsning for lokale servere eller skyservere basert på Spectrum Protect.</t>
  </si>
  <si>
    <t xml:space="preserve">Alle priser er oppgitt i NOK, eksklusiv mva.				</t>
  </si>
  <si>
    <t>Fast månedlig 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</si>
  <si>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er en datareduksjon som er gjort i tjenesten. Avhengig av data varierer det normalt mellom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</si>
  <si>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Prisen er per beskyttet GB på klienten.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</si>
  <si>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Prisen er per lagret GB i tjenesten etter deduplisering og komprimering.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</si>
  <si>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Prisen er per lagret GB i tjenesten etter deduplisering og komprimering. 1000 GB er inkludert i den faste månedlige prisen.</t>
    </r>
  </si>
  <si>
    <t>Nettverk og programvare</t>
  </si>
  <si>
    <t>Nettverk</t>
  </si>
  <si>
    <t>Programvare og lisenser</t>
  </si>
  <si>
    <t>Lading per</t>
  </si>
  <si>
    <t>Datatrafikk</t>
  </si>
  <si>
    <t>1 TB / måned inkludert per prosjekt (gratis i akademisk sektor)</t>
  </si>
  <si>
    <t>Support og konsulenttjenester</t>
  </si>
  <si>
    <t>Konsulenttjenester</t>
  </si>
  <si>
    <t>Utdanninger</t>
  </si>
  <si>
    <t>Lengde</t>
  </si>
  <si>
    <t>Mulighet</t>
  </si>
  <si>
    <t>Time</t>
  </si>
  <si>
    <t>SEK/NOK</t>
  </si>
  <si>
    <t>Månedlig kostnad</t>
  </si>
  <si>
    <t>Alle priser er oppgitt i SEK, eksklusiv mva.</t>
  </si>
  <si>
    <t>Kontakt Safespring for et fullstendig tilbud</t>
  </si>
  <si>
    <t xml:space="preserve">  Tjeneste</t>
  </si>
  <si>
    <t>Forespørsel om tilbud</t>
  </si>
  <si>
    <t>IP adresse</t>
  </si>
  <si>
    <t>Ekstra lagring</t>
  </si>
  <si>
    <t>Kontakt Safespring</t>
  </si>
  <si>
    <t>Instruksjoner: Angi ønsket antall i de fargede feltene.</t>
  </si>
  <si>
    <t>Antall instanser</t>
  </si>
  <si>
    <t>Instanser med sentral blokklagring</t>
  </si>
  <si>
    <t xml:space="preserve">"Bare Metal" compute </t>
  </si>
  <si>
    <t>Antall TB</t>
  </si>
  <si>
    <t>Deduplisering*</t>
  </si>
  <si>
    <t>Pris per</t>
  </si>
  <si>
    <t>Instanse</t>
  </si>
  <si>
    <t>Pris på forespørsel</t>
  </si>
  <si>
    <t>Introduktion til "Infrastruktur som tjeneste"</t>
  </si>
  <si>
    <t>Skystrategi for ledergrupper</t>
  </si>
  <si>
    <t>introduksjon til skybasert infrastrukturteknikk</t>
  </si>
  <si>
    <t>Moderne DevOps og "microservices"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</si>
</sst>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EUR]_-;\-* #,##0.00\ [$EUR]_-;_-* &quot;-&quot;??\ [$EUR]_-;_-@_-"/>
    <numFmt numFmtId="173" formatCode="#,##0_ ;\-#,##0\ "/>
    <numFmt numFmtId="174" formatCode="_-* #,##0\ [$SEK]_-;\-* #,##0\ [$SEK]_-;_-* &quot;-&quot;??\ [$SEK]_-;_-@_-"/>
    <numFmt numFmtId="175" formatCode="_-* #,##0.000\ [$€-1]_-;\-* #,##0.000\ [$€-1]_-;_-* &quot;-&quot;??\ [$€-1]_-;_-@_-"/>
    <numFmt numFmtId="176" formatCode="_-* #,##0.000000\ [$€-1]_-;\-* #,##0.000000\ [$€-1]_-;_-* &quot;-&quot;??\ [$€-1]_-;_-@_-"/>
    <numFmt numFmtId="177" formatCode="0.0000"/>
    <numFmt numFmtId="178" formatCode="#,##0.00\ &quot;kr&quot;"/>
    <numFmt numFmtId="179" formatCode="[$€-2]\ #,##0.0000"/>
    <numFmt numFmtId="180" formatCode="_-* #,##0.000\ [$€-1]_-;\-* #,##0.000\ [$€-1]_-;_-* &quot;-&quot;???\ [$€-1]_-;_-@_-"/>
    <numFmt numFmtId="181" formatCode="0.000%"/>
    <numFmt numFmtId="182" formatCode="0.0000%"/>
    <numFmt numFmtId="183" formatCode="#,##0.00\ [$SEK]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  <font>
      <sz val="11"/>
      <color rgb="FF414141"/>
      <name val="Montserrat Medium"/>
    </font>
    <font>
      <sz val="11"/>
      <color rgb="FF414141"/>
      <name val="Montserrat 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CE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  <border>
      <left/>
      <right/>
      <top style="hair">
        <color theme="4" tint="0.59999389629810485"/>
      </top>
      <bottom style="hair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22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2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3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6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2" fontId="4" fillId="4" borderId="0" xfId="2" applyNumberFormat="1" applyFont="1" applyFill="1" applyAlignment="1" applyProtection="1">
      <alignment horizontal="left" vertical="center" readingOrder="1"/>
      <protection hidden="1"/>
    </xf>
    <xf numFmtId="179" fontId="9" fillId="4" borderId="0" xfId="0" applyNumberFormat="1" applyFont="1" applyFill="1" applyAlignment="1" applyProtection="1">
      <alignment horizontal="left" vertical="center"/>
      <protection hidden="1"/>
    </xf>
    <xf numFmtId="180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7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0" borderId="0" xfId="0" applyNumberFormat="1" applyFont="1" applyAlignment="1" applyProtection="1">
      <alignment vertical="center" shrinkToFit="1"/>
      <protection hidden="1"/>
    </xf>
    <xf numFmtId="181" fontId="9" fillId="0" borderId="0" xfId="1" applyNumberFormat="1" applyFont="1" applyAlignment="1" applyProtection="1">
      <alignment vertical="center" shrinkToFit="1"/>
      <protection hidden="1"/>
    </xf>
    <xf numFmtId="9" fontId="6" fillId="0" borderId="0" xfId="1" applyFont="1" applyAlignment="1" applyProtection="1">
      <alignment vertical="center" shrinkToFit="1"/>
      <protection hidden="1"/>
    </xf>
    <xf numFmtId="182" fontId="6" fillId="0" borderId="0" xfId="1" applyNumberFormat="1" applyFont="1" applyAlignment="1" applyProtection="1">
      <alignment vertical="center" shrinkToFit="1"/>
      <protection hidden="1"/>
    </xf>
    <xf numFmtId="9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9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1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83" fontId="4" fillId="2" borderId="0" xfId="2" applyNumberFormat="1" applyFont="1" applyFill="1" applyAlignment="1" applyProtection="1">
      <alignment horizontal="right" vertical="center" readingOrder="1"/>
      <protection hidden="1"/>
    </xf>
    <xf numFmtId="183" fontId="9" fillId="2" borderId="0" xfId="0" applyNumberFormat="1" applyFont="1" applyFill="1" applyBorder="1" applyAlignment="1" applyProtection="1">
      <alignment horizontal="right" vertical="center"/>
      <protection hidden="1"/>
    </xf>
    <xf numFmtId="183" fontId="9" fillId="2" borderId="6" xfId="0" applyNumberFormat="1" applyFont="1" applyFill="1" applyBorder="1" applyAlignment="1" applyProtection="1">
      <alignment horizontal="right" vertical="center"/>
      <protection hidden="1"/>
    </xf>
    <xf numFmtId="183" fontId="0" fillId="2" borderId="6" xfId="0" applyNumberFormat="1" applyFill="1" applyBorder="1" applyAlignment="1" applyProtection="1">
      <alignment horizontal="right"/>
    </xf>
    <xf numFmtId="183" fontId="49" fillId="2" borderId="6" xfId="0" applyNumberFormat="1" applyFont="1" applyFill="1" applyBorder="1" applyAlignment="1" applyProtection="1">
      <alignment horizontal="right"/>
    </xf>
    <xf numFmtId="183" fontId="0" fillId="2" borderId="0" xfId="0" applyNumberFormat="1" applyFill="1" applyBorder="1" applyAlignment="1" applyProtection="1">
      <alignment horizontal="right"/>
    </xf>
    <xf numFmtId="0" fontId="20" fillId="4" borderId="15" xfId="0" applyFont="1" applyFill="1" applyBorder="1" applyAlignment="1" applyProtection="1">
      <alignment horizontal="left" vertical="center" indent="1" readingOrder="1"/>
      <protection hidden="1"/>
    </xf>
    <xf numFmtId="8" fontId="6" fillId="4" borderId="14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5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/>
      <protection hidden="1"/>
    </xf>
    <xf numFmtId="171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1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0" fontId="20" fillId="4" borderId="15" xfId="0" applyFont="1" applyFill="1" applyBorder="1" applyAlignment="1" applyProtection="1">
      <alignment vertical="center" readingOrder="1"/>
      <protection hidden="1"/>
    </xf>
    <xf numFmtId="0" fontId="9" fillId="4" borderId="0" xfId="0" applyFont="1" applyFill="1" applyAlignment="1" applyProtection="1">
      <protection hidden="1"/>
    </xf>
    <xf numFmtId="0" fontId="41" fillId="4" borderId="0" xfId="3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readingOrder="1"/>
      <protection hidden="1"/>
    </xf>
    <xf numFmtId="0" fontId="4" fillId="4" borderId="0" xfId="0" applyFont="1" applyFill="1" applyBorder="1" applyAlignment="1" applyProtection="1">
      <alignment vertical="center" readingOrder="1"/>
      <protection hidden="1"/>
    </xf>
    <xf numFmtId="0" fontId="4" fillId="0" borderId="0" xfId="0" applyFont="1" applyFill="1" applyBorder="1" applyAlignment="1" applyProtection="1">
      <alignment vertical="center" readingOrder="1"/>
      <protection hidden="1"/>
    </xf>
    <xf numFmtId="0" fontId="38" fillId="0" borderId="6" xfId="0" applyFont="1" applyFill="1" applyBorder="1" applyAlignment="1" applyProtection="1">
      <alignment vertical="center" readingOrder="1"/>
      <protection hidden="1"/>
    </xf>
    <xf numFmtId="0" fontId="38" fillId="0" borderId="0" xfId="0" applyFont="1" applyFill="1" applyBorder="1" applyAlignment="1" applyProtection="1">
      <alignment vertical="center" readingOrder="1"/>
      <protection hidden="1"/>
    </xf>
    <xf numFmtId="0" fontId="6" fillId="4" borderId="0" xfId="0" applyFont="1" applyFill="1" applyAlignment="1" applyProtection="1">
      <alignment vertical="center" readingOrder="1"/>
      <protection hidden="1"/>
    </xf>
    <xf numFmtId="0" fontId="6" fillId="0" borderId="0" xfId="0" applyFont="1" applyBorder="1" applyAlignment="1" applyProtection="1">
      <alignment vertical="center" readingOrder="1"/>
      <protection hidden="1"/>
    </xf>
    <xf numFmtId="0" fontId="12" fillId="0" borderId="0" xfId="0" applyFont="1" applyFill="1" applyBorder="1" applyAlignment="1" applyProtection="1">
      <alignment vertical="center" readingOrder="1"/>
      <protection hidden="1"/>
    </xf>
    <xf numFmtId="0" fontId="6" fillId="0" borderId="0" xfId="0" applyFont="1" applyAlignment="1" applyProtection="1">
      <alignment vertical="center" readingOrder="1"/>
      <protection hidden="1"/>
    </xf>
    <xf numFmtId="0" fontId="14" fillId="0" borderId="0" xfId="0" applyFont="1" applyFill="1" applyBorder="1" applyAlignment="1" applyProtection="1">
      <alignment vertical="center" readingOrder="1"/>
      <protection hidden="1"/>
    </xf>
    <xf numFmtId="8" fontId="16" fillId="0" borderId="0" xfId="0" applyNumberFormat="1" applyFont="1" applyFill="1" applyBorder="1" applyAlignment="1" applyProtection="1">
      <alignment vertical="center" readingOrder="1"/>
      <protection hidden="1"/>
    </xf>
    <xf numFmtId="0" fontId="45" fillId="0" borderId="6" xfId="0" applyFont="1" applyFill="1" applyBorder="1" applyAlignment="1" applyProtection="1">
      <alignment vertical="center" readingOrder="1"/>
      <protection hidden="1"/>
    </xf>
    <xf numFmtId="0" fontId="16" fillId="0" borderId="0" xfId="0" applyFont="1" applyFill="1" applyBorder="1" applyAlignment="1" applyProtection="1">
      <alignment vertical="center" readingOrder="1"/>
      <protection hidden="1"/>
    </xf>
    <xf numFmtId="0" fontId="16" fillId="0" borderId="1" xfId="0" applyFont="1" applyFill="1" applyBorder="1" applyAlignment="1" applyProtection="1">
      <alignment vertical="center" readingOrder="1"/>
      <protection hidden="1"/>
    </xf>
    <xf numFmtId="0" fontId="16" fillId="4" borderId="0" xfId="0" applyFont="1" applyFill="1" applyBorder="1" applyAlignment="1" applyProtection="1">
      <alignment vertical="center" readingOrder="1"/>
      <protection hidden="1"/>
    </xf>
    <xf numFmtId="0" fontId="38" fillId="4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vertical="center" readingOrder="1"/>
      <protection hidden="1"/>
    </xf>
    <xf numFmtId="0" fontId="47" fillId="0" borderId="0" xfId="0" applyFont="1" applyFill="1" applyBorder="1" applyAlignment="1" applyProtection="1">
      <alignment vertical="center" readingOrder="1"/>
      <protection hidden="1"/>
    </xf>
    <xf numFmtId="0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right" vertical="center"/>
      <protection hidden="1"/>
    </xf>
    <xf numFmtId="0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0" borderId="0" xfId="4" applyNumberFormat="1" applyFont="1" applyFill="1" applyBorder="1" applyAlignment="1" applyProtection="1">
      <alignment horizontal="right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right" vertical="center"/>
      <protection hidden="1"/>
    </xf>
    <xf numFmtId="170" fontId="6" fillId="4" borderId="1" xfId="4" applyNumberFormat="1" applyFont="1" applyFill="1" applyBorder="1" applyAlignment="1" applyProtection="1">
      <alignment horizontal="right"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right" vertical="center" readingOrder="1"/>
      <protection hidden="1"/>
    </xf>
    <xf numFmtId="0" fontId="6" fillId="0" borderId="0" xfId="0" applyFont="1" applyAlignment="1" applyProtection="1">
      <alignment horizontal="right" vertical="center" readingOrder="1"/>
      <protection hidden="1"/>
    </xf>
    <xf numFmtId="0" fontId="6" fillId="0" borderId="0" xfId="0" applyFont="1" applyBorder="1" applyAlignment="1" applyProtection="1">
      <alignment horizontal="right" vertical="center" readingOrder="1"/>
      <protection hidden="1"/>
    </xf>
    <xf numFmtId="0" fontId="4" fillId="0" borderId="0" xfId="0" applyFont="1" applyFill="1" applyBorder="1" applyAlignment="1" applyProtection="1">
      <alignment horizontal="right" vertical="center" readingOrder="1"/>
      <protection hidden="1"/>
    </xf>
    <xf numFmtId="0" fontId="31" fillId="0" borderId="0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8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21" xfId="0" applyFont="1" applyFill="1" applyBorder="1" applyAlignment="1" applyProtection="1">
      <alignment horizontal="left" vertical="center" shrinkToFit="1" readingOrder="1"/>
      <protection hidden="1"/>
    </xf>
    <xf numFmtId="44" fontId="4" fillId="4" borderId="1" xfId="2" applyFont="1" applyFill="1" applyBorder="1" applyAlignment="1" applyProtection="1">
      <alignment horizontal="right" vertical="center" shrinkToFit="1" readingOrder="1"/>
      <protection hidden="1"/>
    </xf>
    <xf numFmtId="44" fontId="4" fillId="4" borderId="0" xfId="2" applyFont="1" applyFill="1" applyBorder="1" applyAlignment="1" applyProtection="1">
      <alignment horizontal="right" vertical="center" shrinkToFit="1" readingOrder="1"/>
      <protection hidden="1"/>
    </xf>
    <xf numFmtId="44" fontId="4" fillId="0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6" xfId="2" applyFont="1" applyFill="1" applyBorder="1" applyAlignment="1" applyProtection="1">
      <alignment horizontal="right" vertical="center" shrinkToFit="1" readingOrder="1"/>
      <protection hidden="1"/>
    </xf>
    <xf numFmtId="6" fontId="6" fillId="4" borderId="17" xfId="0" applyNumberFormat="1" applyFont="1" applyFill="1" applyBorder="1" applyAlignment="1" applyProtection="1">
      <alignment horizontal="righ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3" borderId="0" xfId="0" applyFont="1" applyFill="1" applyAlignment="1" applyProtection="1">
      <alignment horizontal="left" vertical="center"/>
      <protection hidden="1"/>
    </xf>
    <xf numFmtId="0" fontId="51" fillId="6" borderId="0" xfId="0" applyFont="1" applyFill="1" applyAlignment="1" applyProtection="1">
      <alignment horizontal="left" vertical="center" indent="1"/>
      <protection hidden="1"/>
    </xf>
    <xf numFmtId="0" fontId="4" fillId="0" borderId="0" xfId="0" applyFont="1" applyAlignment="1" applyProtection="1">
      <alignment horizontal="left" indent="1" shrinkToFit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143"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D47F4B2-C3A5-154C-9358-069B6894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698659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0F88DC1-1DD1-2246-9D4C-727605C5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6"/>
  <sheetViews>
    <sheetView showGridLines="0" zoomScale="93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4" customWidth="1"/>
    <col min="2" max="2" width="31" style="45" customWidth="1"/>
    <col min="3" max="3" width="17.5" style="10" customWidth="1"/>
    <col min="4" max="4" width="15" style="10"/>
    <col min="5" max="5" width="15.6640625" style="10" bestFit="1" customWidth="1"/>
    <col min="6" max="6" width="18.5" style="204" bestFit="1" customWidth="1"/>
    <col min="7" max="7" width="20.6640625" style="204" customWidth="1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54"/>
      <c r="C4" s="654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359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215</v>
      </c>
      <c r="C8" s="63"/>
      <c r="D8" s="70" t="s">
        <v>216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311</v>
      </c>
      <c r="C9" s="63"/>
      <c r="D9" s="79" t="s">
        <v>310</v>
      </c>
      <c r="E9" s="63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504" t="s">
        <v>300</v>
      </c>
      <c r="C10" s="452"/>
      <c r="D10" s="506" t="str">
        <f>"1 SEK = "&amp;EUR&amp;" EUR"</f>
        <v>1 SEK = 0,094718 EUR</v>
      </c>
      <c r="E10" s="50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55" t="s">
        <v>3</v>
      </c>
      <c r="C15" s="655"/>
      <c r="D15" s="655"/>
      <c r="E15" s="655"/>
      <c r="F15" s="655"/>
      <c r="G15" s="655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55"/>
      <c r="C16" s="655"/>
      <c r="D16" s="655"/>
      <c r="E16" s="655"/>
      <c r="F16" s="655"/>
      <c r="G16" s="655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55"/>
      <c r="C17" s="655"/>
      <c r="D17" s="655"/>
      <c r="E17" s="655"/>
      <c r="F17" s="655"/>
      <c r="G17" s="655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473" t="s">
        <v>260</v>
      </c>
      <c r="C18" s="473"/>
      <c r="D18" s="473"/>
      <c r="E18" s="473"/>
      <c r="F18" s="47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56" t="s">
        <v>217</v>
      </c>
      <c r="C19" s="656"/>
      <c r="D19" s="656"/>
      <c r="E19" s="656"/>
      <c r="F19" s="656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218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57</v>
      </c>
      <c r="C23" s="11"/>
      <c r="D23" s="11"/>
      <c r="I23" s="169"/>
      <c r="M23" s="206"/>
      <c r="N23" s="206"/>
      <c r="O23" s="204"/>
      <c r="P23" s="207"/>
    </row>
    <row r="24" spans="2:29" s="212" customFormat="1" ht="52">
      <c r="B24" s="513" t="s">
        <v>219</v>
      </c>
      <c r="C24" s="13" t="s">
        <v>8</v>
      </c>
      <c r="D24" s="13" t="s">
        <v>9</v>
      </c>
      <c r="E24" s="14" t="s">
        <v>226</v>
      </c>
      <c r="F24" s="208"/>
      <c r="G24" s="209" t="s">
        <v>220</v>
      </c>
      <c r="H24" s="209" t="s">
        <v>221</v>
      </c>
      <c r="I24" s="210" t="s">
        <v>58</v>
      </c>
      <c r="J24" s="210" t="s">
        <v>222</v>
      </c>
      <c r="K24" s="210" t="s">
        <v>223</v>
      </c>
      <c r="L24" s="211"/>
      <c r="M24" s="209" t="s">
        <v>59</v>
      </c>
      <c r="N24" s="209" t="s">
        <v>224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453">
        <f t="shared" ref="G25:G35" si="0">H25/720</f>
        <v>3.6703224999999999E-2</v>
      </c>
      <c r="H25" s="453">
        <f>C25*IAAS_vcpu_EUR+D25*IAAS_ram_EUR+E25*IAAS_ssd_EUR</f>
        <v>26.426321999999999</v>
      </c>
      <c r="I25" s="219"/>
      <c r="J25" s="219"/>
      <c r="K25" s="219"/>
      <c r="L25" s="216" t="s">
        <v>58</v>
      </c>
      <c r="M25" s="455">
        <f>ROUNDUP(I25*H25,2)</f>
        <v>0</v>
      </c>
      <c r="N25" s="455">
        <f t="shared" ref="N25:N35" si="1">J25*C25*SW_win.ser.201X_EUR+K25*C25*SW_ms.sql.ser_EUR</f>
        <v>0</v>
      </c>
      <c r="P25" s="221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454">
        <f t="shared" si="0"/>
        <v>4.3938627777777781E-2</v>
      </c>
      <c r="H26" s="454">
        <f>C26*IAAS_vcpu_EUR+D26*IAAS_ram_EUR+E26*IAAS_ssd_EUR</f>
        <v>31.635812000000001</v>
      </c>
      <c r="I26" s="219"/>
      <c r="J26" s="219"/>
      <c r="K26" s="219"/>
      <c r="L26" s="222" t="str">
        <f t="shared" ref="L26:L35" si="2">L25</f>
        <v>Instances</v>
      </c>
      <c r="M26" s="456">
        <f t="shared" ref="M26:M35" si="3">ROUNDUP(I26*H26,2)</f>
        <v>0</v>
      </c>
      <c r="N26" s="500">
        <f t="shared" si="1"/>
        <v>0</v>
      </c>
      <c r="P26" s="221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453">
        <f t="shared" si="0"/>
        <v>6.8933655555555556E-2</v>
      </c>
      <c r="H27" s="453">
        <f t="shared" ref="H27:H34" si="4">C27*IAAS_vcpu_EUR+D27*IAAS_ram_EUR+E27*IAAS_ssd_EUR</f>
        <v>49.632232000000002</v>
      </c>
      <c r="I27" s="219"/>
      <c r="J27" s="219"/>
      <c r="K27" s="219"/>
      <c r="L27" s="216" t="str">
        <f t="shared" si="2"/>
        <v>Instances</v>
      </c>
      <c r="M27" s="455">
        <f t="shared" si="3"/>
        <v>0</v>
      </c>
      <c r="N27" s="455">
        <f t="shared" si="1"/>
        <v>0</v>
      </c>
      <c r="O27" s="226"/>
      <c r="P27" s="221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454">
        <f t="shared" si="0"/>
        <v>0.11892371111111112</v>
      </c>
      <c r="H28" s="454">
        <f t="shared" si="4"/>
        <v>85.625072000000003</v>
      </c>
      <c r="I28" s="219"/>
      <c r="J28" s="219"/>
      <c r="K28" s="219"/>
      <c r="L28" s="222" t="str">
        <f t="shared" si="2"/>
        <v>Instances</v>
      </c>
      <c r="M28" s="456">
        <f t="shared" si="3"/>
        <v>0</v>
      </c>
      <c r="N28" s="500">
        <f t="shared" si="1"/>
        <v>0</v>
      </c>
      <c r="P28" s="221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453">
        <f t="shared" si="0"/>
        <v>0.21890382222222221</v>
      </c>
      <c r="H29" s="453">
        <f t="shared" si="4"/>
        <v>157.61075199999999</v>
      </c>
      <c r="I29" s="219"/>
      <c r="J29" s="219"/>
      <c r="K29" s="219"/>
      <c r="L29" s="216" t="str">
        <f t="shared" si="2"/>
        <v>Instances</v>
      </c>
      <c r="M29" s="455">
        <f t="shared" si="3"/>
        <v>0</v>
      </c>
      <c r="N29" s="455">
        <f t="shared" si="1"/>
        <v>0</v>
      </c>
      <c r="P29" s="221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454">
        <f t="shared" si="0"/>
        <v>0.41886404444444442</v>
      </c>
      <c r="H30" s="454">
        <f t="shared" si="4"/>
        <v>301.582112</v>
      </c>
      <c r="I30" s="219"/>
      <c r="J30" s="219"/>
      <c r="K30" s="219"/>
      <c r="L30" s="222" t="str">
        <f t="shared" si="2"/>
        <v>Instances</v>
      </c>
      <c r="M30" s="456">
        <f t="shared" si="3"/>
        <v>0</v>
      </c>
      <c r="N30" s="500">
        <f t="shared" si="1"/>
        <v>0</v>
      </c>
      <c r="P30" s="221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453">
        <f t="shared" si="0"/>
        <v>5.840943333333333E-2</v>
      </c>
      <c r="H31" s="453">
        <f t="shared" si="4"/>
        <v>42.054791999999999</v>
      </c>
      <c r="I31" s="219"/>
      <c r="J31" s="219"/>
      <c r="K31" s="219"/>
      <c r="L31" s="216" t="str">
        <f t="shared" si="2"/>
        <v>Instances</v>
      </c>
      <c r="M31" s="455">
        <f t="shared" si="3"/>
        <v>0</v>
      </c>
      <c r="N31" s="455">
        <f t="shared" si="1"/>
        <v>0</v>
      </c>
      <c r="P31" s="221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454">
        <f t="shared" si="0"/>
        <v>9.7875266666666669E-2</v>
      </c>
      <c r="H32" s="454">
        <f t="shared" si="4"/>
        <v>70.470191999999997</v>
      </c>
      <c r="I32" s="219"/>
      <c r="J32" s="219"/>
      <c r="K32" s="219"/>
      <c r="L32" s="222" t="str">
        <f t="shared" si="2"/>
        <v>Instances</v>
      </c>
      <c r="M32" s="456">
        <f t="shared" si="3"/>
        <v>0</v>
      </c>
      <c r="N32" s="500">
        <f t="shared" si="1"/>
        <v>0</v>
      </c>
      <c r="P32" s="221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453">
        <f t="shared" si="0"/>
        <v>0.17680693333333333</v>
      </c>
      <c r="H33" s="453">
        <f t="shared" si="4"/>
        <v>127.30099199999999</v>
      </c>
      <c r="I33" s="219"/>
      <c r="J33" s="219"/>
      <c r="K33" s="219"/>
      <c r="L33" s="216" t="str">
        <f t="shared" si="2"/>
        <v>Instances</v>
      </c>
      <c r="M33" s="455">
        <f t="shared" si="3"/>
        <v>0</v>
      </c>
      <c r="N33" s="455">
        <f t="shared" si="1"/>
        <v>0</v>
      </c>
      <c r="P33" s="221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454">
        <f t="shared" si="0"/>
        <v>0.3346702666666666</v>
      </c>
      <c r="H34" s="454">
        <f t="shared" si="4"/>
        <v>240.96259199999997</v>
      </c>
      <c r="I34" s="219"/>
      <c r="J34" s="219"/>
      <c r="K34" s="219"/>
      <c r="L34" s="222" t="str">
        <f>L33</f>
        <v>Instances</v>
      </c>
      <c r="M34" s="456">
        <f t="shared" si="3"/>
        <v>0</v>
      </c>
      <c r="N34" s="500">
        <f t="shared" si="1"/>
        <v>0</v>
      </c>
      <c r="P34" s="221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453">
        <f t="shared" si="0"/>
        <v>0.65039693333333326</v>
      </c>
      <c r="H35" s="453">
        <f>C35*IAAS_vcpu_EUR+D35*IAAS_ram_EUR+E35*IAAS_ssd_EUR</f>
        <v>468.28579199999996</v>
      </c>
      <c r="I35" s="219"/>
      <c r="J35" s="219"/>
      <c r="K35" s="219"/>
      <c r="L35" s="216" t="str">
        <f t="shared" si="2"/>
        <v>Instances</v>
      </c>
      <c r="M35" s="455">
        <f t="shared" si="3"/>
        <v>0</v>
      </c>
      <c r="N35" s="455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225</v>
      </c>
      <c r="C36" s="89"/>
      <c r="D36" s="89"/>
      <c r="E36" s="89"/>
      <c r="F36" s="227"/>
      <c r="G36" s="228"/>
      <c r="H36" s="229"/>
      <c r="I36" s="163">
        <f>SUM(I25:I35)</f>
        <v>0</v>
      </c>
      <c r="J36" s="163">
        <f>SUM(J25:J35)</f>
        <v>0</v>
      </c>
      <c r="K36" s="163">
        <f>SUM(K25:K35)</f>
        <v>0</v>
      </c>
      <c r="L36" s="164"/>
      <c r="M36" s="457">
        <f>SUM(M25:M35)</f>
        <v>0</v>
      </c>
      <c r="N36" s="458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227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219</v>
      </c>
      <c r="C40" s="13" t="s">
        <v>8</v>
      </c>
      <c r="D40" s="13" t="s">
        <v>9</v>
      </c>
      <c r="E40" s="14" t="s">
        <v>109</v>
      </c>
      <c r="F40" s="208"/>
      <c r="G40" s="209" t="s">
        <v>220</v>
      </c>
      <c r="H40" s="209" t="s">
        <v>221</v>
      </c>
      <c r="I40" s="210" t="s">
        <v>58</v>
      </c>
      <c r="J40" s="210" t="s">
        <v>222</v>
      </c>
      <c r="K40" s="210" t="s">
        <v>223</v>
      </c>
      <c r="L40" s="211"/>
      <c r="M40" s="209" t="s">
        <v>59</v>
      </c>
      <c r="N40" s="209" t="s">
        <v>224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460">
        <f t="shared" ref="G41:G59" si="5">H41/720</f>
        <v>2.8283847222222217E-2</v>
      </c>
      <c r="H41" s="460">
        <f t="shared" ref="H41:H59" si="6">C41*IAAS_vcpu_EUR+D41*IAAS_ram_EUR+E41*IAAS_nvme_EUR</f>
        <v>20.364369999999997</v>
      </c>
      <c r="I41" s="219"/>
      <c r="J41" s="219"/>
      <c r="K41" s="219"/>
      <c r="L41" s="251" t="str">
        <f>L35</f>
        <v>Instances</v>
      </c>
      <c r="M41" s="455">
        <f t="shared" ref="M41:M59" si="7">ROUNDUP(I41*H41,2)</f>
        <v>0</v>
      </c>
      <c r="N41" s="455">
        <f t="shared" ref="N41:N59" si="8">J41*C41*SW_win.ser.201X_EUR+K41*C41*SW_ms.sql.ser_EUR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459">
        <f t="shared" si="5"/>
        <v>0.13286830555555557</v>
      </c>
      <c r="H42" s="459">
        <f t="shared" si="6"/>
        <v>95.665180000000007</v>
      </c>
      <c r="I42" s="219"/>
      <c r="J42" s="219"/>
      <c r="K42" s="219"/>
      <c r="L42" s="253" t="str">
        <f>L41</f>
        <v>Instances</v>
      </c>
      <c r="M42" s="456">
        <f t="shared" si="7"/>
        <v>0</v>
      </c>
      <c r="N42" s="456">
        <f t="shared" si="8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460">
        <f t="shared" si="5"/>
        <v>0.23284841666666667</v>
      </c>
      <c r="H43" s="460">
        <f t="shared" si="6"/>
        <v>167.65085999999999</v>
      </c>
      <c r="I43" s="219"/>
      <c r="J43" s="219"/>
      <c r="K43" s="219"/>
      <c r="L43" s="251" t="str">
        <f t="shared" ref="L43:L59" si="9">L42</f>
        <v>Instances</v>
      </c>
      <c r="M43" s="455">
        <f t="shared" si="7"/>
        <v>0</v>
      </c>
      <c r="N43" s="455">
        <f t="shared" si="8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459">
        <f t="shared" si="5"/>
        <v>0.43280863888888893</v>
      </c>
      <c r="H44" s="459">
        <f t="shared" si="6"/>
        <v>311.62222000000003</v>
      </c>
      <c r="I44" s="219"/>
      <c r="J44" s="219"/>
      <c r="K44" s="219"/>
      <c r="L44" s="253" t="str">
        <f t="shared" si="9"/>
        <v>Instances</v>
      </c>
      <c r="M44" s="456">
        <f t="shared" si="7"/>
        <v>0</v>
      </c>
      <c r="N44" s="456">
        <f t="shared" si="8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460">
        <f t="shared" si="5"/>
        <v>0.46569683333333334</v>
      </c>
      <c r="H45" s="460">
        <f t="shared" si="6"/>
        <v>335.30171999999999</v>
      </c>
      <c r="I45" s="219"/>
      <c r="J45" s="219"/>
      <c r="K45" s="219"/>
      <c r="L45" s="251" t="str">
        <f t="shared" si="9"/>
        <v>Instances</v>
      </c>
      <c r="M45" s="455">
        <f t="shared" si="7"/>
        <v>0</v>
      </c>
      <c r="N45" s="455">
        <f t="shared" si="8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459">
        <f t="shared" si="5"/>
        <v>0.53147322222222226</v>
      </c>
      <c r="H46" s="459">
        <f t="shared" si="6"/>
        <v>382.66072000000003</v>
      </c>
      <c r="I46" s="219"/>
      <c r="J46" s="219"/>
      <c r="K46" s="219"/>
      <c r="L46" s="253" t="str">
        <f t="shared" si="9"/>
        <v>Instances</v>
      </c>
      <c r="M46" s="456">
        <f t="shared" si="7"/>
        <v>0</v>
      </c>
      <c r="N46" s="456">
        <f t="shared" si="8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460">
        <f t="shared" si="5"/>
        <v>0.83272908333333329</v>
      </c>
      <c r="H47" s="460">
        <f t="shared" si="6"/>
        <v>599.56493999999998</v>
      </c>
      <c r="I47" s="219"/>
      <c r="J47" s="219"/>
      <c r="K47" s="219"/>
      <c r="L47" s="251" t="str">
        <f t="shared" si="9"/>
        <v>Instances</v>
      </c>
      <c r="M47" s="455">
        <f t="shared" si="7"/>
        <v>0</v>
      </c>
      <c r="N47" s="455">
        <f t="shared" si="8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459">
        <f t="shared" si="5"/>
        <v>0.86561727777777786</v>
      </c>
      <c r="H48" s="459">
        <f t="shared" si="6"/>
        <v>623.24444000000005</v>
      </c>
      <c r="I48" s="219"/>
      <c r="J48" s="219"/>
      <c r="K48" s="219"/>
      <c r="L48" s="253" t="str">
        <f t="shared" si="9"/>
        <v>Instances</v>
      </c>
      <c r="M48" s="456">
        <f t="shared" si="7"/>
        <v>0</v>
      </c>
      <c r="N48" s="456">
        <f t="shared" si="8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460">
        <f t="shared" si="5"/>
        <v>0.93139366666666668</v>
      </c>
      <c r="H49" s="460">
        <f t="shared" si="6"/>
        <v>670.60343999999998</v>
      </c>
      <c r="I49" s="219"/>
      <c r="J49" s="219"/>
      <c r="K49" s="219"/>
      <c r="L49" s="251" t="str">
        <f t="shared" si="9"/>
        <v>Instances</v>
      </c>
      <c r="M49" s="455">
        <f t="shared" si="7"/>
        <v>0</v>
      </c>
      <c r="N49" s="455">
        <f t="shared" si="8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459">
        <f t="shared" si="5"/>
        <v>0.19075152777777776</v>
      </c>
      <c r="H50" s="459">
        <f t="shared" si="6"/>
        <v>137.34109999999998</v>
      </c>
      <c r="I50" s="219"/>
      <c r="J50" s="219"/>
      <c r="K50" s="219"/>
      <c r="L50" s="253" t="str">
        <f t="shared" si="9"/>
        <v>Instances</v>
      </c>
      <c r="M50" s="456">
        <f t="shared" si="7"/>
        <v>0</v>
      </c>
      <c r="N50" s="456">
        <f t="shared" si="8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460">
        <f t="shared" si="5"/>
        <v>0.34861486111111106</v>
      </c>
      <c r="H51" s="460">
        <f t="shared" si="6"/>
        <v>251.00269999999998</v>
      </c>
      <c r="I51" s="219"/>
      <c r="J51" s="219"/>
      <c r="K51" s="219"/>
      <c r="L51" s="251" t="str">
        <f t="shared" si="9"/>
        <v>Instances</v>
      </c>
      <c r="M51" s="455">
        <f t="shared" si="7"/>
        <v>0</v>
      </c>
      <c r="N51" s="455">
        <f t="shared" si="8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459">
        <f t="shared" si="5"/>
        <v>0.38150305555555553</v>
      </c>
      <c r="H52" s="459">
        <f t="shared" si="6"/>
        <v>274.68219999999997</v>
      </c>
      <c r="I52" s="219"/>
      <c r="J52" s="219"/>
      <c r="K52" s="219"/>
      <c r="L52" s="253" t="str">
        <f t="shared" si="9"/>
        <v>Instances</v>
      </c>
      <c r="M52" s="456">
        <f t="shared" si="7"/>
        <v>0</v>
      </c>
      <c r="N52" s="456">
        <f t="shared" si="8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460">
        <f t="shared" si="5"/>
        <v>0.44727944444444445</v>
      </c>
      <c r="H53" s="460">
        <f t="shared" si="6"/>
        <v>322.0412</v>
      </c>
      <c r="I53" s="219"/>
      <c r="J53" s="219"/>
      <c r="K53" s="219"/>
      <c r="L53" s="251" t="str">
        <f t="shared" si="9"/>
        <v>Instances</v>
      </c>
      <c r="M53" s="455">
        <f t="shared" si="7"/>
        <v>0</v>
      </c>
      <c r="N53" s="455">
        <f t="shared" si="8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459">
        <f t="shared" si="5"/>
        <v>0.66434152777777777</v>
      </c>
      <c r="H54" s="459">
        <f t="shared" si="6"/>
        <v>478.32589999999999</v>
      </c>
      <c r="I54" s="219"/>
      <c r="J54" s="219"/>
      <c r="K54" s="219"/>
      <c r="L54" s="253" t="str">
        <f t="shared" si="9"/>
        <v>Instances</v>
      </c>
      <c r="M54" s="456">
        <f t="shared" si="7"/>
        <v>0</v>
      </c>
      <c r="N54" s="456">
        <f t="shared" si="8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460">
        <f t="shared" si="5"/>
        <v>0.69722972222222213</v>
      </c>
      <c r="H55" s="460">
        <f t="shared" si="6"/>
        <v>502.00539999999995</v>
      </c>
      <c r="I55" s="219"/>
      <c r="J55" s="219"/>
      <c r="K55" s="219"/>
      <c r="L55" s="251" t="str">
        <f t="shared" si="9"/>
        <v>Instances</v>
      </c>
      <c r="M55" s="455">
        <f t="shared" si="7"/>
        <v>0</v>
      </c>
      <c r="N55" s="455">
        <f t="shared" si="8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459">
        <f t="shared" ref="G56:G57" si="10">H56/720</f>
        <v>0.76300611111111105</v>
      </c>
      <c r="H56" s="459">
        <f t="shared" ref="H56:H57" si="11">C56*IAAS_vcpu_EUR+D56*IAAS_ram_EUR+E56*IAAS_nvme_EUR</f>
        <v>549.36439999999993</v>
      </c>
      <c r="I56" s="219"/>
      <c r="J56" s="219"/>
      <c r="K56" s="219"/>
      <c r="L56" s="253" t="str">
        <f>L53</f>
        <v>Instances</v>
      </c>
      <c r="M56" s="456">
        <f t="shared" ref="M56:M57" si="12">ROUNDUP(I56*H56,2)</f>
        <v>0</v>
      </c>
      <c r="N56" s="456">
        <f t="shared" si="8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460">
        <f t="shared" si="10"/>
        <v>1.295794861111111</v>
      </c>
      <c r="H57" s="460">
        <f t="shared" si="11"/>
        <v>932.9722999999999</v>
      </c>
      <c r="I57" s="219"/>
      <c r="J57" s="219"/>
      <c r="K57" s="219"/>
      <c r="L57" s="251" t="str">
        <f t="shared" si="9"/>
        <v>Instances</v>
      </c>
      <c r="M57" s="455">
        <f t="shared" si="12"/>
        <v>0</v>
      </c>
      <c r="N57" s="455">
        <f t="shared" si="8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459">
        <f t="shared" si="5"/>
        <v>1.3286830555555555</v>
      </c>
      <c r="H58" s="459">
        <f t="shared" si="6"/>
        <v>956.65179999999998</v>
      </c>
      <c r="I58" s="219"/>
      <c r="J58" s="219"/>
      <c r="K58" s="219"/>
      <c r="L58" s="253" t="str">
        <f>L55</f>
        <v>Instances</v>
      </c>
      <c r="M58" s="456">
        <f t="shared" si="7"/>
        <v>0</v>
      </c>
      <c r="N58" s="456">
        <f t="shared" si="8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460">
        <f t="shared" si="5"/>
        <v>1.3944594444444443</v>
      </c>
      <c r="H59" s="460">
        <f t="shared" si="6"/>
        <v>1004.0107999999999</v>
      </c>
      <c r="I59" s="219"/>
      <c r="J59" s="219"/>
      <c r="K59" s="219"/>
      <c r="L59" s="251" t="str">
        <f t="shared" si="9"/>
        <v>Instances</v>
      </c>
      <c r="M59" s="455">
        <f t="shared" si="7"/>
        <v>0</v>
      </c>
      <c r="N59" s="455">
        <f t="shared" si="8"/>
        <v>0</v>
      </c>
      <c r="P59" s="221"/>
      <c r="U59" s="202"/>
      <c r="W59" s="202"/>
    </row>
    <row r="60" spans="2:24" s="193" customFormat="1" ht="25.5" customHeight="1">
      <c r="B60" s="516" t="s">
        <v>225</v>
      </c>
      <c r="C60" s="89"/>
      <c r="D60" s="89"/>
      <c r="E60" s="89"/>
      <c r="F60" s="227"/>
      <c r="G60" s="228"/>
      <c r="H60" s="229"/>
      <c r="I60" s="163">
        <f>SUM(I41:I59)</f>
        <v>0</v>
      </c>
      <c r="J60" s="163">
        <f>SUM(J41:J59)</f>
        <v>0</v>
      </c>
      <c r="K60" s="163">
        <f>SUM(K41:K59)</f>
        <v>0</v>
      </c>
      <c r="L60" s="164"/>
      <c r="M60" s="457">
        <f>SUM(M41:M59)</f>
        <v>0</v>
      </c>
      <c r="N60" s="458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228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219</v>
      </c>
      <c r="C64" s="13" t="s">
        <v>8</v>
      </c>
      <c r="D64" s="13" t="s">
        <v>9</v>
      </c>
      <c r="E64" s="14" t="s">
        <v>109</v>
      </c>
      <c r="F64" s="208" t="s">
        <v>69</v>
      </c>
      <c r="G64" s="209" t="s">
        <v>220</v>
      </c>
      <c r="H64" s="209" t="s">
        <v>221</v>
      </c>
      <c r="I64" s="210" t="s">
        <v>58</v>
      </c>
      <c r="J64" s="210" t="s">
        <v>222</v>
      </c>
      <c r="K64" s="210" t="s">
        <v>223</v>
      </c>
      <c r="L64" s="211"/>
      <c r="M64" s="209" t="s">
        <v>59</v>
      </c>
      <c r="N64" s="209" t="s">
        <v>224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60">
        <f t="shared" ref="G65:G68" si="13">H65/720</f>
        <v>0.91429180555555545</v>
      </c>
      <c r="H65" s="460">
        <f>C65*IAAS_vcpu_EUR+D65*IAAS_ram_EUR+E65*IAAS_nvme_EUR+F65*IAAS_gpu_EUR</f>
        <v>658.29009999999994</v>
      </c>
      <c r="I65" s="219"/>
      <c r="J65" s="219"/>
      <c r="K65" s="219"/>
      <c r="L65" s="251" t="str">
        <f>L55</f>
        <v>Instances</v>
      </c>
      <c r="M65" s="455">
        <f t="shared" ref="M65:M68" si="14">ROUNDUP(I65*H65,2)</f>
        <v>0</v>
      </c>
      <c r="N65" s="455">
        <f>J65*C65*SW_win.ser.201X_EUR+K65*C65*SW_ms.sql.ser_EUR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59">
        <f t="shared" si="13"/>
        <v>1.8285836111111109</v>
      </c>
      <c r="H66" s="459">
        <f>C66*IAAS_vcpu_EUR+D66*IAAS_ram_EUR+E66*IAAS_nvme_EUR+F66*IAAS_gpu_EUR</f>
        <v>1316.5801999999999</v>
      </c>
      <c r="I66" s="219"/>
      <c r="J66" s="219"/>
      <c r="K66" s="219"/>
      <c r="L66" s="247" t="str">
        <f t="shared" ref="L66:L68" si="15">L56</f>
        <v>Instances</v>
      </c>
      <c r="M66" s="456">
        <f t="shared" si="14"/>
        <v>0</v>
      </c>
      <c r="N66" s="456">
        <f>J66*C66*SW_win.ser.201X_EUR+K66*C66*SW_ms.sql.ser_EUR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60">
        <f t="shared" si="13"/>
        <v>3.6571672222222218</v>
      </c>
      <c r="H67" s="460">
        <f>C67*IAAS_vcpu_EUR+D67*IAAS_ram_EUR+E67*IAAS_nvme_EUR+F67*IAAS_gpu_EUR</f>
        <v>2633.1603999999998</v>
      </c>
      <c r="I67" s="219"/>
      <c r="J67" s="219"/>
      <c r="K67" s="219"/>
      <c r="L67" s="251" t="str">
        <f t="shared" si="15"/>
        <v>Instances</v>
      </c>
      <c r="M67" s="455">
        <f t="shared" si="14"/>
        <v>0</v>
      </c>
      <c r="N67" s="455">
        <f>J67*C67*SW_win.ser.201X_EUR+K67*C67*SW_ms.sql.ser_EUR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59">
        <f t="shared" si="13"/>
        <v>5.7357011111111103</v>
      </c>
      <c r="H68" s="459">
        <f>C68*IAAS_vcpu_EUR+D68*IAAS_ram_EUR+E68*IAAS_nvme_EUR+F68*IAAS_gpu_EUR</f>
        <v>4129.7047999999995</v>
      </c>
      <c r="I68" s="219"/>
      <c r="J68" s="219"/>
      <c r="K68" s="219"/>
      <c r="L68" s="247" t="str">
        <f t="shared" si="15"/>
        <v>Instances</v>
      </c>
      <c r="M68" s="456">
        <f t="shared" si="14"/>
        <v>0</v>
      </c>
      <c r="N68" s="456">
        <f>J68*C68*SW_win.ser.201X_EUR+K68*C68*SW_ms.sql.ser_EUR</f>
        <v>0</v>
      </c>
      <c r="P68" s="221"/>
      <c r="U68" s="202"/>
      <c r="W68" s="202"/>
    </row>
    <row r="69" spans="2:24" s="270" customFormat="1" ht="25.5" customHeight="1">
      <c r="B69" s="516" t="s">
        <v>225</v>
      </c>
      <c r="C69" s="89"/>
      <c r="D69" s="89"/>
      <c r="E69" s="89"/>
      <c r="F69" s="227"/>
      <c r="G69" s="228"/>
      <c r="H69" s="229"/>
      <c r="I69" s="163">
        <f>SUM(I65:I68)</f>
        <v>0</v>
      </c>
      <c r="J69" s="163">
        <f>SUM(J65:J68)</f>
        <v>0</v>
      </c>
      <c r="K69" s="163">
        <f>SUM(K65:K68)</f>
        <v>0</v>
      </c>
      <c r="L69" s="164"/>
      <c r="M69" s="457">
        <f>SUM(M65:M68)</f>
        <v>0</v>
      </c>
      <c r="N69" s="458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52">
      <c r="B73" s="513" t="s">
        <v>219</v>
      </c>
      <c r="C73" s="13" t="s">
        <v>8</v>
      </c>
      <c r="D73" s="13" t="s">
        <v>9</v>
      </c>
      <c r="E73" s="14" t="s">
        <v>109</v>
      </c>
      <c r="F73" s="208"/>
      <c r="G73" s="209" t="s">
        <v>220</v>
      </c>
      <c r="H73" s="209" t="s">
        <v>221</v>
      </c>
      <c r="I73" s="210" t="s">
        <v>58</v>
      </c>
      <c r="J73" s="210" t="s">
        <v>222</v>
      </c>
      <c r="K73" s="210" t="s">
        <v>223</v>
      </c>
      <c r="L73" s="211"/>
      <c r="M73" s="209" t="s">
        <v>59</v>
      </c>
      <c r="N73" s="209" t="s">
        <v>224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460">
        <f t="shared" ref="G74:G76" si="16">H74/720</f>
        <v>0.89982099999999998</v>
      </c>
      <c r="H74" s="460">
        <f>INSTANCE_p1.2xlarge.16d_EUR</f>
        <v>647.87112000000002</v>
      </c>
      <c r="I74" s="219"/>
      <c r="J74" s="219"/>
      <c r="K74" s="219"/>
      <c r="L74" s="216" t="s">
        <v>18</v>
      </c>
      <c r="M74" s="455">
        <f t="shared" ref="M74:M76" si="17">ROUNDUP(I74*H74,2)</f>
        <v>0</v>
      </c>
      <c r="N74" s="455">
        <f>J74*C74*SW_win.ser.201X_EUR+K74*C74*SW_ms.sql.ser_EUR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459">
        <f t="shared" si="16"/>
        <v>1.799642</v>
      </c>
      <c r="H75" s="459">
        <f>INSTANCE_p1.4xlarge.16d_EUR</f>
        <v>1295.74224</v>
      </c>
      <c r="I75" s="219"/>
      <c r="J75" s="219"/>
      <c r="K75" s="219"/>
      <c r="L75" s="222" t="str">
        <f t="shared" ref="L75" si="18">L74</f>
        <v>Instanser</v>
      </c>
      <c r="M75" s="456">
        <f t="shared" si="17"/>
        <v>0</v>
      </c>
      <c r="N75" s="456">
        <f>J75*C75*SW_win.ser.201X_EUR+K75*C75*SW_ms.sql.ser_EUR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461">
        <f t="shared" si="16"/>
        <v>3.5992839999999999</v>
      </c>
      <c r="H76" s="462">
        <f>INSTANCE_p1.8xlarge.32d_EUR</f>
        <v>2591.4844800000001</v>
      </c>
      <c r="I76" s="219"/>
      <c r="J76" s="219"/>
      <c r="K76" s="219"/>
      <c r="L76" s="216" t="s">
        <v>18</v>
      </c>
      <c r="M76" s="455">
        <f t="shared" si="17"/>
        <v>0</v>
      </c>
      <c r="N76" s="455">
        <f>J76*C76*SW_win.ser.201X_EUR+K76*C76*SW_ms.sql.ser_EUR</f>
        <v>0</v>
      </c>
      <c r="O76" s="282"/>
      <c r="P76" s="283"/>
    </row>
    <row r="77" spans="2:24" ht="25.5" customHeight="1">
      <c r="B77" s="516" t="s">
        <v>225</v>
      </c>
      <c r="C77" s="89"/>
      <c r="D77" s="89"/>
      <c r="E77" s="89"/>
      <c r="F77" s="227"/>
      <c r="G77" s="228"/>
      <c r="H77" s="229"/>
      <c r="I77" s="163">
        <f>SUM(I74:I76)</f>
        <v>0</v>
      </c>
      <c r="J77" s="163">
        <f>SUM(J74:J76)</f>
        <v>0</v>
      </c>
      <c r="K77" s="163">
        <f>SUM(K74:K76)</f>
        <v>0</v>
      </c>
      <c r="L77" s="164"/>
      <c r="M77" s="457">
        <f>SUM(M74:M76)</f>
        <v>0</v>
      </c>
      <c r="N77" s="458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229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219</v>
      </c>
      <c r="C81" s="26" t="s">
        <v>184</v>
      </c>
      <c r="D81" s="26"/>
      <c r="E81" s="140" t="s">
        <v>220</v>
      </c>
      <c r="F81" s="657" t="s">
        <v>230</v>
      </c>
      <c r="G81" s="657"/>
      <c r="H81" s="658"/>
      <c r="I81" s="658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463">
        <f>F82/720</f>
        <v>1.5786333333333332E-4</v>
      </c>
      <c r="F82" s="652">
        <f>VOLUME_large_EUR</f>
        <v>0.11366159999999999</v>
      </c>
      <c r="G82" s="652"/>
      <c r="H82" s="653"/>
      <c r="I82" s="653"/>
      <c r="J82" s="294"/>
      <c r="K82" s="295" t="s">
        <v>26</v>
      </c>
      <c r="L82" s="295"/>
      <c r="M82" s="296"/>
      <c r="N82" s="465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464">
        <f>F83/720</f>
        <v>4.7358999999999997E-4</v>
      </c>
      <c r="F83" s="661">
        <f>VOLUME_fast_EUR</f>
        <v>0.34098479999999998</v>
      </c>
      <c r="G83" s="661"/>
      <c r="H83" s="662"/>
      <c r="I83" s="662"/>
      <c r="J83" s="298"/>
      <c r="K83" s="299" t="s">
        <v>26</v>
      </c>
      <c r="L83" s="299"/>
      <c r="M83" s="300"/>
      <c r="N83" s="466">
        <f>ROUNDUP(J83*F83,2)</f>
        <v>0</v>
      </c>
      <c r="O83" s="203"/>
      <c r="P83" s="221"/>
      <c r="Y83" s="202"/>
    </row>
    <row r="84" spans="2:25" ht="25.5" customHeight="1">
      <c r="B84" s="516" t="s">
        <v>225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458">
        <f>SUM(N82:N83)</f>
        <v>0</v>
      </c>
      <c r="O84" s="204"/>
      <c r="P84" s="207"/>
    </row>
    <row r="85" spans="2:25" ht="25.5" customHeight="1">
      <c r="B85" s="525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55" t="s">
        <v>27</v>
      </c>
      <c r="C88" s="655"/>
      <c r="D88" s="655"/>
      <c r="E88" s="655"/>
      <c r="F88" s="655"/>
      <c r="G88" s="655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55"/>
      <c r="C89" s="655"/>
      <c r="D89" s="655"/>
      <c r="E89" s="655"/>
      <c r="F89" s="655"/>
      <c r="G89" s="655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55"/>
      <c r="C90" s="655"/>
      <c r="D90" s="655"/>
      <c r="E90" s="655"/>
      <c r="F90" s="655"/>
      <c r="G90" s="655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63" t="s">
        <v>231</v>
      </c>
      <c r="C91" s="663"/>
      <c r="D91" s="663"/>
      <c r="E91" s="663"/>
      <c r="F91" s="663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64" t="s">
        <v>298</v>
      </c>
      <c r="C92" s="664"/>
      <c r="D92" s="664"/>
      <c r="E92" s="664"/>
      <c r="F92" s="664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218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219</v>
      </c>
      <c r="C95" s="12" t="s">
        <v>232</v>
      </c>
      <c r="D95" s="657" t="s">
        <v>233</v>
      </c>
      <c r="E95" s="657"/>
      <c r="F95" s="657"/>
      <c r="G95" s="657"/>
      <c r="H95" s="657"/>
      <c r="I95" s="657"/>
      <c r="J95" s="657"/>
      <c r="K95" s="657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59">
        <f>S3_storage.50_EUR</f>
        <v>33.151299999999999</v>
      </c>
      <c r="E96" s="659"/>
      <c r="F96" s="660"/>
      <c r="G96" s="660"/>
      <c r="H96" s="660"/>
      <c r="I96" s="660"/>
      <c r="J96" s="660"/>
      <c r="K96" s="660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67">
        <f>S3_storage.100_EUR</f>
        <v>25.57386</v>
      </c>
      <c r="E97" s="667"/>
      <c r="F97" s="668"/>
      <c r="G97" s="668"/>
      <c r="H97" s="668"/>
      <c r="I97" s="668"/>
      <c r="J97" s="668"/>
      <c r="K97" s="668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65">
        <f>S3_storage.500_EUR</f>
        <v>18.9436</v>
      </c>
      <c r="E98" s="665"/>
      <c r="F98" s="666"/>
      <c r="G98" s="666"/>
      <c r="H98" s="666"/>
      <c r="I98" s="666"/>
      <c r="J98" s="666"/>
      <c r="K98" s="666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67">
        <f>S3_storage.1000_EUR</f>
        <v>17.522829999999999</v>
      </c>
      <c r="E99" s="667"/>
      <c r="F99" s="668"/>
      <c r="G99" s="668"/>
      <c r="H99" s="668"/>
      <c r="I99" s="668"/>
      <c r="J99" s="668"/>
      <c r="K99" s="668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69" t="str">
        <f>S3_storage.quote_EUR</f>
        <v>Ask for quote</v>
      </c>
      <c r="E100" s="669"/>
      <c r="F100" s="669"/>
      <c r="G100" s="669"/>
      <c r="H100" s="669"/>
      <c r="I100" s="669"/>
      <c r="J100" s="669"/>
      <c r="K100" s="669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219</v>
      </c>
      <c r="C103" s="26"/>
      <c r="D103" s="26"/>
      <c r="E103" s="139" t="s">
        <v>220</v>
      </c>
      <c r="F103" s="657" t="s">
        <v>234</v>
      </c>
      <c r="G103" s="657"/>
      <c r="H103" s="288" t="s">
        <v>232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503" cm="1">
        <f t="array" ref="E104">_xlfn.IFS(H104&lt;1001,F104/720,H104&gt;1000,D100)</f>
        <v>4.6043472222222222E-2</v>
      </c>
      <c r="F104" s="670" cm="1">
        <f t="array" ref="F104">_xlfn.IFS(H104&lt;51,D96,H104&lt;101,D97,H104&lt;501,D98,H104&lt;1001,D99,H104&gt;1000,D100)</f>
        <v>33.151299999999999</v>
      </c>
      <c r="G104" s="671"/>
      <c r="H104" s="326">
        <v>0</v>
      </c>
      <c r="I104" s="327" t="s">
        <v>73</v>
      </c>
      <c r="J104" s="328"/>
      <c r="K104" s="328"/>
      <c r="L104" s="328"/>
      <c r="M104" s="329"/>
      <c r="N104" s="468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458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55" t="s">
        <v>32</v>
      </c>
      <c r="C109" s="655"/>
      <c r="D109" s="655"/>
      <c r="E109" s="655"/>
      <c r="F109" s="655"/>
      <c r="G109" s="655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55"/>
      <c r="C110" s="655"/>
      <c r="D110" s="655"/>
      <c r="E110" s="655"/>
      <c r="F110" s="655"/>
      <c r="G110" s="655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55"/>
      <c r="C111" s="655"/>
      <c r="D111" s="655"/>
      <c r="E111" s="655"/>
      <c r="F111" s="655"/>
      <c r="G111" s="655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72" t="s">
        <v>299</v>
      </c>
      <c r="C112" s="672"/>
      <c r="D112" s="672"/>
      <c r="E112" s="672"/>
      <c r="F112" s="672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56" t="s">
        <v>217</v>
      </c>
      <c r="C113" s="656"/>
      <c r="D113" s="656"/>
      <c r="E113" s="656"/>
      <c r="F113" s="656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218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219</v>
      </c>
      <c r="C116" s="673" t="s">
        <v>241</v>
      </c>
      <c r="D116" s="673"/>
      <c r="E116" s="139"/>
      <c r="F116" s="657" t="s">
        <v>240</v>
      </c>
      <c r="G116" s="657"/>
      <c r="H116" s="288" t="s">
        <v>30</v>
      </c>
      <c r="I116" s="286"/>
      <c r="J116" s="658" t="s">
        <v>239</v>
      </c>
      <c r="K116" s="658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675" t="s">
        <v>106</v>
      </c>
      <c r="C117" s="675"/>
      <c r="D117" s="544" t="s">
        <v>25</v>
      </c>
      <c r="E117" s="31"/>
      <c r="F117" s="676">
        <f>BAAS_on.demand_EUR</f>
        <v>0.23205910000000002</v>
      </c>
      <c r="G117" s="677"/>
      <c r="H117" s="338">
        <v>0</v>
      </c>
      <c r="I117" s="295" t="s">
        <v>26</v>
      </c>
      <c r="J117" s="678" t="s">
        <v>25</v>
      </c>
      <c r="K117" s="678"/>
      <c r="L117" s="339"/>
      <c r="M117" s="295"/>
      <c r="N117" s="465">
        <f>ROUNDUP(H117*F117,2)</f>
        <v>0</v>
      </c>
      <c r="O117" s="273"/>
      <c r="P117" s="207"/>
    </row>
    <row r="118" spans="1:35" ht="25.5" customHeight="1">
      <c r="A118" s="337"/>
      <c r="B118" s="679" t="s">
        <v>107</v>
      </c>
      <c r="C118" s="679"/>
      <c r="D118" s="545">
        <f>BAAS_small.fee_EUR</f>
        <v>520.94899999999996</v>
      </c>
      <c r="E118" s="34"/>
      <c r="F118" s="680">
        <f>BAAS_small_EUR</f>
        <v>0.1657565</v>
      </c>
      <c r="G118" s="681"/>
      <c r="H118" s="340">
        <v>0</v>
      </c>
      <c r="I118" s="299" t="s">
        <v>26</v>
      </c>
      <c r="J118" s="682">
        <v>0.75</v>
      </c>
      <c r="K118" s="683"/>
      <c r="L118" s="299"/>
      <c r="M118" s="299"/>
      <c r="N118" s="466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684" t="s">
        <v>108</v>
      </c>
      <c r="C119" s="684"/>
      <c r="D119" s="546">
        <f>BAAS_large.fee_EUR</f>
        <v>899.82099999999991</v>
      </c>
      <c r="E119" s="37"/>
      <c r="F119" s="685">
        <f>BAAS_large_EUR</f>
        <v>8.7140560000000006E-2</v>
      </c>
      <c r="G119" s="686"/>
      <c r="H119" s="326">
        <v>0</v>
      </c>
      <c r="I119" s="327" t="s">
        <v>26</v>
      </c>
      <c r="J119" s="687">
        <v>0.75</v>
      </c>
      <c r="K119" s="688"/>
      <c r="L119" s="327"/>
      <c r="M119" s="327"/>
      <c r="N119" s="467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458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235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236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237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238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7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7" s="188" customFormat="1" ht="25.5" customHeight="1">
      <c r="B130" s="655" t="s">
        <v>242</v>
      </c>
      <c r="C130" s="655"/>
      <c r="D130" s="655"/>
      <c r="E130" s="655"/>
      <c r="F130" s="655"/>
      <c r="G130" s="655"/>
      <c r="H130" s="189"/>
      <c r="J130" s="190"/>
      <c r="K130" s="190"/>
      <c r="M130" s="191"/>
      <c r="N130" s="308"/>
      <c r="O130" s="203"/>
      <c r="P130" s="221"/>
    </row>
    <row r="131" spans="2:27" s="188" customFormat="1" ht="25.5" customHeight="1">
      <c r="B131" s="655"/>
      <c r="C131" s="655"/>
      <c r="D131" s="655"/>
      <c r="E131" s="655"/>
      <c r="F131" s="655"/>
      <c r="G131" s="655"/>
      <c r="H131" s="189"/>
      <c r="J131" s="190"/>
      <c r="K131" s="190"/>
      <c r="M131" s="191"/>
      <c r="N131" s="308"/>
      <c r="O131" s="203"/>
      <c r="P131" s="221"/>
    </row>
    <row r="132" spans="2:27" s="188" customFormat="1" ht="25.5" customHeight="1">
      <c r="B132" s="655"/>
      <c r="C132" s="655"/>
      <c r="D132" s="655"/>
      <c r="E132" s="655"/>
      <c r="F132" s="655"/>
      <c r="G132" s="655"/>
      <c r="H132" s="189"/>
      <c r="J132" s="190"/>
      <c r="K132" s="190"/>
      <c r="M132" s="191"/>
      <c r="N132" s="308"/>
      <c r="O132" s="203"/>
      <c r="P132" s="221"/>
    </row>
    <row r="133" spans="2:27" s="188" customFormat="1" ht="25.5" customHeight="1">
      <c r="B133" s="656" t="s">
        <v>217</v>
      </c>
      <c r="C133" s="656"/>
      <c r="D133" s="656"/>
      <c r="E133" s="656"/>
      <c r="F133" s="656"/>
      <c r="H133" s="189"/>
      <c r="J133" s="190"/>
      <c r="K133" s="190"/>
      <c r="M133" s="191"/>
      <c r="N133" s="308"/>
      <c r="O133" s="203"/>
      <c r="P133" s="221"/>
    </row>
    <row r="134" spans="2:27" s="188" customFormat="1" ht="25.5" customHeight="1">
      <c r="B134" s="674"/>
      <c r="C134" s="674"/>
      <c r="D134" s="674"/>
      <c r="E134" s="674"/>
      <c r="F134" s="674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7" s="188" customFormat="1" ht="25.5" customHeight="1">
      <c r="B135" s="141"/>
      <c r="C135" s="141"/>
      <c r="D135" s="141"/>
      <c r="E135" s="141"/>
      <c r="F135" s="201"/>
      <c r="G135" s="195"/>
      <c r="H135" s="195"/>
      <c r="I135" s="195"/>
      <c r="J135" s="195"/>
      <c r="K135" s="195"/>
      <c r="L135" s="195"/>
      <c r="M135" s="196"/>
      <c r="N135" s="195"/>
      <c r="O135" s="197"/>
      <c r="P135" s="221"/>
      <c r="Q135" s="195"/>
      <c r="R135" s="199"/>
      <c r="S135" s="308"/>
      <c r="T135" s="203"/>
    </row>
    <row r="136" spans="2:27" s="203" customFormat="1" ht="25.5" customHeight="1">
      <c r="B136" s="475" t="s">
        <v>246</v>
      </c>
      <c r="C136" s="141"/>
      <c r="D136" s="141"/>
      <c r="E136" s="141"/>
      <c r="F136" s="201"/>
      <c r="G136" s="195"/>
      <c r="H136" s="195"/>
      <c r="I136" s="195"/>
      <c r="J136" s="195"/>
      <c r="K136" s="195"/>
      <c r="L136" s="195"/>
      <c r="M136" s="195"/>
      <c r="N136" s="195"/>
      <c r="O136" s="197"/>
      <c r="P136" s="221"/>
      <c r="Q136" s="195"/>
      <c r="R136" s="199"/>
      <c r="S136" s="308"/>
      <c r="V136" s="193"/>
      <c r="W136" s="193"/>
      <c r="X136" s="193"/>
      <c r="Y136" s="193"/>
      <c r="Z136" s="193"/>
      <c r="AA136" s="193"/>
    </row>
    <row r="137" spans="2:27" ht="25.5" customHeight="1">
      <c r="B137" s="547" t="s">
        <v>219</v>
      </c>
      <c r="C137" s="25" t="s">
        <v>243</v>
      </c>
      <c r="D137" s="25"/>
      <c r="E137" s="26" t="s">
        <v>184</v>
      </c>
      <c r="F137" s="286"/>
      <c r="G137" s="289"/>
      <c r="H137" s="289"/>
      <c r="I137" s="289"/>
      <c r="J137" s="289"/>
      <c r="K137" s="289"/>
      <c r="L137" s="346" t="s">
        <v>245</v>
      </c>
      <c r="M137" s="346"/>
      <c r="N137" s="289" t="s">
        <v>221</v>
      </c>
      <c r="O137" s="214"/>
      <c r="P137" s="221"/>
      <c r="Q137" s="348"/>
      <c r="R137" s="347"/>
      <c r="S137" s="308"/>
      <c r="T137" s="203"/>
    </row>
    <row r="138" spans="2:27" ht="25.5" customHeight="1">
      <c r="B138" s="142" t="s">
        <v>167</v>
      </c>
      <c r="C138" s="32" t="s">
        <v>125</v>
      </c>
      <c r="D138" s="137"/>
      <c r="E138" s="41" t="s">
        <v>244</v>
      </c>
      <c r="F138" s="349"/>
      <c r="G138" s="350"/>
      <c r="H138" s="350"/>
      <c r="I138" s="350"/>
      <c r="J138" s="350"/>
      <c r="K138" s="350"/>
      <c r="L138" s="351" t="s">
        <v>178</v>
      </c>
      <c r="M138" s="351"/>
      <c r="N138" s="477">
        <f>NET_publicv4_EUR</f>
        <v>1.8943599999999998</v>
      </c>
      <c r="O138" s="204"/>
      <c r="P138" s="221"/>
      <c r="Q138" s="205"/>
      <c r="R138" s="169"/>
      <c r="S138" s="308"/>
      <c r="T138" s="203"/>
    </row>
    <row r="139" spans="2:27" ht="25.5" customHeight="1">
      <c r="B139" s="145" t="s">
        <v>168</v>
      </c>
      <c r="C139" s="40" t="s">
        <v>124</v>
      </c>
      <c r="D139" s="138"/>
      <c r="E139" s="43" t="s">
        <v>244</v>
      </c>
      <c r="F139" s="353"/>
      <c r="G139" s="354"/>
      <c r="H139" s="354"/>
      <c r="I139" s="354"/>
      <c r="J139" s="354"/>
      <c r="K139" s="354"/>
      <c r="L139" s="355" t="s">
        <v>25</v>
      </c>
      <c r="M139" s="355"/>
      <c r="N139" s="470">
        <f>NET_publicv6_EUR</f>
        <v>0</v>
      </c>
      <c r="O139" s="204"/>
      <c r="P139" s="221"/>
      <c r="Q139" s="205"/>
      <c r="R139" s="169"/>
      <c r="S139" s="308"/>
      <c r="T139" s="203"/>
    </row>
    <row r="140" spans="2:27" ht="25.5" customHeight="1">
      <c r="B140" s="142" t="s">
        <v>173</v>
      </c>
      <c r="C140" s="32" t="s">
        <v>297</v>
      </c>
      <c r="D140" s="137"/>
      <c r="E140" s="156"/>
      <c r="F140" s="357"/>
      <c r="G140" s="350"/>
      <c r="H140" s="350"/>
      <c r="I140" s="350"/>
      <c r="J140" s="350"/>
      <c r="K140" s="350"/>
      <c r="L140" s="351" t="s">
        <v>26</v>
      </c>
      <c r="M140" s="351"/>
      <c r="N140" s="469">
        <f>NET_ingress_EUR</f>
        <v>0</v>
      </c>
      <c r="O140" s="204"/>
      <c r="P140" s="221"/>
      <c r="Q140" s="205"/>
      <c r="R140" s="169"/>
      <c r="S140" s="308"/>
      <c r="T140" s="203"/>
    </row>
    <row r="141" spans="2:27" ht="25.5" customHeight="1">
      <c r="B141" s="145" t="s">
        <v>174</v>
      </c>
      <c r="C141" s="527" t="s">
        <v>297</v>
      </c>
      <c r="D141" s="138"/>
      <c r="E141" s="43" t="s">
        <v>296</v>
      </c>
      <c r="F141" s="353"/>
      <c r="G141" s="358"/>
      <c r="H141" s="358"/>
      <c r="I141" s="358"/>
      <c r="J141" s="358"/>
      <c r="K141" s="358"/>
      <c r="L141" s="359" t="s">
        <v>26</v>
      </c>
      <c r="M141" s="359"/>
      <c r="N141" s="470">
        <f>NET_egress_EUR</f>
        <v>2.3679499999999999E-2</v>
      </c>
      <c r="O141" s="204"/>
      <c r="P141" s="221"/>
      <c r="Q141" s="205"/>
      <c r="R141" s="169"/>
      <c r="S141" s="308"/>
      <c r="T141" s="203"/>
    </row>
    <row r="142" spans="2:27" ht="25.5" customHeight="1">
      <c r="B142" s="142" t="s">
        <v>170</v>
      </c>
      <c r="C142" s="32" t="s">
        <v>126</v>
      </c>
      <c r="D142" s="137"/>
      <c r="E142" s="32"/>
      <c r="F142" s="357"/>
      <c r="G142" s="350"/>
      <c r="H142" s="350"/>
      <c r="I142" s="350"/>
      <c r="J142" s="350"/>
      <c r="K142" s="350"/>
      <c r="L142" s="351" t="s">
        <v>261</v>
      </c>
      <c r="M142" s="351"/>
      <c r="N142" s="465">
        <f>NET_mgn.slb_EUR</f>
        <v>28.415399999999998</v>
      </c>
      <c r="O142" s="169"/>
      <c r="P142" s="221"/>
      <c r="Q142" s="169"/>
      <c r="R142" s="360"/>
      <c r="T142" s="337"/>
    </row>
    <row r="143" spans="2:27" ht="25.5" customHeight="1">
      <c r="B143" s="145" t="s">
        <v>172</v>
      </c>
      <c r="C143" s="40" t="s">
        <v>128</v>
      </c>
      <c r="D143" s="138"/>
      <c r="E143" s="43"/>
      <c r="F143" s="353"/>
      <c r="G143" s="358"/>
      <c r="H143" s="358"/>
      <c r="I143" s="358"/>
      <c r="J143" s="358"/>
      <c r="K143" s="358"/>
      <c r="L143" s="355" t="s">
        <v>25</v>
      </c>
      <c r="M143" s="355"/>
      <c r="N143" s="470">
        <f>NET_rdns_EUR</f>
        <v>0</v>
      </c>
      <c r="O143" s="204"/>
      <c r="P143" s="221"/>
      <c r="Q143" s="205"/>
      <c r="R143" s="169"/>
      <c r="S143" s="308"/>
      <c r="T143" s="203"/>
    </row>
    <row r="144" spans="2:27" ht="25.5" customHeight="1">
      <c r="B144" s="142" t="s">
        <v>171</v>
      </c>
      <c r="C144" s="32" t="s">
        <v>127</v>
      </c>
      <c r="D144" s="137"/>
      <c r="E144" s="32"/>
      <c r="F144" s="357"/>
      <c r="G144" s="361"/>
      <c r="H144" s="361"/>
      <c r="I144" s="361"/>
      <c r="J144" s="361"/>
      <c r="K144" s="361"/>
      <c r="L144" s="362" t="s">
        <v>25</v>
      </c>
      <c r="M144" s="362"/>
      <c r="N144" s="469">
        <f>NET_saferoute_EUR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40" t="s">
        <v>122</v>
      </c>
      <c r="D145" s="138"/>
      <c r="E145" s="43"/>
      <c r="F145" s="353"/>
      <c r="G145" s="358"/>
      <c r="H145" s="358"/>
      <c r="I145" s="358"/>
      <c r="J145" s="358"/>
      <c r="K145" s="358"/>
      <c r="L145" s="355" t="s">
        <v>25</v>
      </c>
      <c r="M145" s="355"/>
      <c r="N145" s="470">
        <f>NET_byoip_EUR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548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247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47" t="s">
        <v>219</v>
      </c>
      <c r="C148" s="25"/>
      <c r="D148" s="26"/>
      <c r="E148" s="26" t="s">
        <v>184</v>
      </c>
      <c r="F148" s="286"/>
      <c r="G148" s="289"/>
      <c r="H148" s="289"/>
      <c r="I148" s="289"/>
      <c r="J148" s="289"/>
      <c r="K148" s="289"/>
      <c r="L148" s="346" t="s">
        <v>245</v>
      </c>
      <c r="M148" s="346"/>
      <c r="N148" s="289" t="s">
        <v>221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50"/>
      <c r="H149" s="350"/>
      <c r="I149" s="350"/>
      <c r="J149" s="350"/>
      <c r="K149" s="350"/>
      <c r="L149" s="351" t="s">
        <v>8</v>
      </c>
      <c r="M149" s="351"/>
      <c r="N149" s="465">
        <f>SW_win.ser.201X_EUR</f>
        <v>7.3880039999999996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4"/>
      <c r="H150" s="354"/>
      <c r="I150" s="354"/>
      <c r="J150" s="354"/>
      <c r="K150" s="354"/>
      <c r="L150" s="359" t="s">
        <v>8</v>
      </c>
      <c r="M150" s="359"/>
      <c r="N150" s="466">
        <f>SW_win.ser.201X_EUR</f>
        <v>7.3880039999999996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50"/>
      <c r="H151" s="350"/>
      <c r="I151" s="350"/>
      <c r="J151" s="350"/>
      <c r="K151" s="350"/>
      <c r="L151" s="351" t="s">
        <v>8</v>
      </c>
      <c r="M151" s="351"/>
      <c r="N151" s="465">
        <f>SW_ms.sql.ser_EUR</f>
        <v>141.887564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4"/>
      <c r="H152" s="354"/>
      <c r="I152" s="354"/>
      <c r="J152" s="354"/>
      <c r="K152" s="354"/>
      <c r="L152" s="359" t="s">
        <v>261</v>
      </c>
      <c r="M152" s="359"/>
      <c r="N152" s="466">
        <f>SW_stackn_EUR</f>
        <v>928.2364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50"/>
      <c r="H153" s="350"/>
      <c r="I153" s="350"/>
      <c r="J153" s="350"/>
      <c r="K153" s="350"/>
      <c r="L153" s="362" t="s">
        <v>25</v>
      </c>
      <c r="M153" s="362"/>
      <c r="N153" s="528" t="str">
        <f>SW_nextcloud_EUR</f>
        <v>Request a quote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4"/>
      <c r="H154" s="354"/>
      <c r="I154" s="354"/>
      <c r="J154" s="354"/>
      <c r="K154" s="354"/>
      <c r="L154" s="355" t="s">
        <v>25</v>
      </c>
      <c r="M154" s="355"/>
      <c r="N154" s="529" t="str">
        <f>SW_suse_EUR</f>
        <v>Request a quote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50"/>
      <c r="H155" s="350"/>
      <c r="I155" s="350"/>
      <c r="J155" s="350"/>
      <c r="K155" s="350"/>
      <c r="L155" s="491" t="s">
        <v>261</v>
      </c>
      <c r="M155" s="491"/>
      <c r="N155" s="528" t="str">
        <f>SW_cluster.control_EUR</f>
        <v>3x instance price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4"/>
      <c r="H156" s="354"/>
      <c r="I156" s="354"/>
      <c r="J156" s="354"/>
      <c r="K156" s="354"/>
      <c r="L156" s="359" t="s">
        <v>177</v>
      </c>
      <c r="M156" s="359"/>
      <c r="N156" s="466">
        <f>SW_backup.ninja_EUR</f>
        <v>37.8872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8"/>
      <c r="F157" s="370"/>
      <c r="G157" s="371"/>
      <c r="H157" s="371"/>
      <c r="I157" s="371"/>
      <c r="J157" s="371"/>
      <c r="K157" s="371"/>
      <c r="L157" s="372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37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248</v>
      </c>
      <c r="C159" s="15"/>
      <c r="D159" s="15"/>
      <c r="E159" s="15"/>
      <c r="F159" s="214"/>
      <c r="G159" s="214"/>
      <c r="H159" s="214"/>
      <c r="I159" s="214"/>
      <c r="J159" s="214"/>
      <c r="K159" s="214"/>
      <c r="L159" s="365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219</v>
      </c>
      <c r="C160" s="25"/>
      <c r="D160" s="26"/>
      <c r="E160" s="26" t="s">
        <v>184</v>
      </c>
      <c r="F160" s="286"/>
      <c r="G160" s="289"/>
      <c r="H160" s="289"/>
      <c r="I160" s="289"/>
      <c r="J160" s="289"/>
      <c r="K160" s="289"/>
      <c r="L160" s="346" t="s">
        <v>245</v>
      </c>
      <c r="M160" s="346"/>
      <c r="N160" s="289" t="s">
        <v>221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295</v>
      </c>
      <c r="F161" s="349"/>
      <c r="G161" s="350"/>
      <c r="H161" s="350"/>
      <c r="I161" s="350"/>
      <c r="J161" s="350"/>
      <c r="K161" s="350"/>
      <c r="L161" s="351" t="s">
        <v>290</v>
      </c>
      <c r="M161" s="351"/>
      <c r="N161" s="471">
        <f>PAAS_man.kubernetes_EUR</f>
        <v>4900</v>
      </c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4"/>
      <c r="H162" s="354"/>
      <c r="I162" s="354"/>
      <c r="J162" s="354"/>
      <c r="K162" s="354"/>
      <c r="L162" s="359" t="s">
        <v>291</v>
      </c>
      <c r="M162" s="359"/>
      <c r="N162" s="472">
        <f>PAAS_man.postgres.sql_EUR</f>
        <v>1950</v>
      </c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292</v>
      </c>
      <c r="F163" s="349"/>
      <c r="G163" s="350"/>
      <c r="H163" s="350"/>
      <c r="I163" s="350"/>
      <c r="J163" s="350"/>
      <c r="K163" s="350"/>
      <c r="L163" s="351" t="s">
        <v>261</v>
      </c>
      <c r="M163" s="351"/>
      <c r="N163" s="471">
        <f>PAAS_man.elasticsearch_EUR</f>
        <v>1950</v>
      </c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4"/>
      <c r="H164" s="354"/>
      <c r="I164" s="354"/>
      <c r="J164" s="354"/>
      <c r="K164" s="354"/>
      <c r="L164" s="359" t="s">
        <v>293</v>
      </c>
      <c r="M164" s="359"/>
      <c r="N164" s="472">
        <f>PAAS_man.redis_EUR</f>
        <v>1900</v>
      </c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50"/>
      <c r="H165" s="350"/>
      <c r="I165" s="350"/>
      <c r="J165" s="350"/>
      <c r="K165" s="350"/>
      <c r="L165" s="351" t="s">
        <v>294</v>
      </c>
      <c r="M165" s="351"/>
      <c r="N165" s="471">
        <f>PAAS_man.nats_EUR</f>
        <v>1950</v>
      </c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4"/>
      <c r="H166" s="354"/>
      <c r="I166" s="354"/>
      <c r="J166" s="354"/>
      <c r="K166" s="354"/>
      <c r="L166" s="359" t="s">
        <v>291</v>
      </c>
      <c r="M166" s="359"/>
      <c r="N166" s="472">
        <f>PAAS_man.mariadb_EUR</f>
        <v>1950</v>
      </c>
      <c r="O166" s="169"/>
      <c r="P166" s="221"/>
      <c r="Q166" s="169"/>
      <c r="R166" s="360"/>
      <c r="S166" s="308"/>
      <c r="T166" s="203"/>
    </row>
    <row r="167" spans="2:23" ht="25.5" customHeight="1">
      <c r="B167" s="110"/>
      <c r="C167" s="107"/>
      <c r="D167" s="447"/>
      <c r="E167" s="109"/>
      <c r="F167" s="370"/>
      <c r="G167" s="371"/>
      <c r="H167" s="371"/>
      <c r="I167" s="371"/>
      <c r="J167" s="371"/>
      <c r="K167" s="371"/>
      <c r="L167" s="372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55" t="s">
        <v>249</v>
      </c>
      <c r="C170" s="655"/>
      <c r="D170" s="655"/>
      <c r="E170" s="655"/>
      <c r="F170" s="655"/>
      <c r="G170" s="655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55"/>
      <c r="C171" s="655"/>
      <c r="D171" s="655"/>
      <c r="E171" s="655"/>
      <c r="F171" s="655"/>
      <c r="G171" s="655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55"/>
      <c r="C172" s="655"/>
      <c r="D172" s="655"/>
      <c r="E172" s="655"/>
      <c r="F172" s="655"/>
      <c r="G172" s="655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56" t="s">
        <v>217</v>
      </c>
      <c r="C173" s="656"/>
      <c r="D173" s="656"/>
      <c r="E173" s="656"/>
      <c r="F173" s="656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74"/>
      <c r="C174" s="674"/>
      <c r="D174" s="674"/>
      <c r="E174" s="674"/>
      <c r="F174" s="674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376"/>
      <c r="R176" s="308"/>
      <c r="S176" s="308"/>
      <c r="T176" s="203"/>
      <c r="U176" s="221"/>
      <c r="V176" s="193"/>
      <c r="W176" s="193"/>
    </row>
    <row r="177" spans="2:23" ht="25.5" customHeight="1">
      <c r="B177" s="25" t="s">
        <v>219</v>
      </c>
      <c r="C177" s="25"/>
      <c r="D177" s="25"/>
      <c r="E177" s="26" t="s">
        <v>184</v>
      </c>
      <c r="F177" s="286"/>
      <c r="G177" s="289"/>
      <c r="H177" s="289"/>
      <c r="I177" s="289"/>
      <c r="J177" s="289"/>
      <c r="K177" s="289"/>
      <c r="L177" s="346" t="s">
        <v>245</v>
      </c>
      <c r="M177" s="346"/>
      <c r="N177" s="289" t="s">
        <v>221</v>
      </c>
      <c r="O177" s="305"/>
      <c r="P177" s="376"/>
      <c r="R177" s="308"/>
      <c r="S177" s="308"/>
      <c r="T177" s="203"/>
      <c r="U177" s="221"/>
      <c r="V177" s="193"/>
      <c r="W177" s="193"/>
    </row>
    <row r="178" spans="2:23" ht="25.5" customHeight="1">
      <c r="B178" s="142" t="s">
        <v>163</v>
      </c>
      <c r="C178" s="137"/>
      <c r="D178" s="137"/>
      <c r="E178" s="32" t="s">
        <v>160</v>
      </c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377">
        <v>0</v>
      </c>
      <c r="O178" s="305"/>
      <c r="P178" s="376"/>
      <c r="R178" s="308"/>
      <c r="S178" s="308"/>
      <c r="T178" s="203"/>
      <c r="U178" s="221"/>
      <c r="V178" s="193"/>
      <c r="W178" s="193"/>
    </row>
    <row r="179" spans="2:23" ht="25.5" customHeight="1">
      <c r="B179" s="145" t="s">
        <v>164</v>
      </c>
      <c r="C179" s="138"/>
      <c r="D179" s="138"/>
      <c r="E179" s="40" t="s">
        <v>161</v>
      </c>
      <c r="F179" s="353"/>
      <c r="G179" s="354"/>
      <c r="H179" s="354"/>
      <c r="I179" s="354"/>
      <c r="J179" s="354"/>
      <c r="K179" s="354"/>
      <c r="L179" s="359" t="s">
        <v>262</v>
      </c>
      <c r="M179" s="355"/>
      <c r="N179" s="510" t="s">
        <v>263</v>
      </c>
      <c r="O179" s="305"/>
      <c r="P179" s="376"/>
      <c r="R179" s="308"/>
      <c r="S179" s="308"/>
      <c r="T179" s="203"/>
      <c r="U179" s="221"/>
      <c r="V179" s="193"/>
      <c r="W179" s="193"/>
    </row>
    <row r="180" spans="2:23" ht="25.5" customHeight="1">
      <c r="B180" s="142" t="s">
        <v>165</v>
      </c>
      <c r="C180" s="137"/>
      <c r="D180" s="137"/>
      <c r="E180" s="32" t="s">
        <v>162</v>
      </c>
      <c r="F180" s="349"/>
      <c r="G180" s="350"/>
      <c r="H180" s="350"/>
      <c r="I180" s="350"/>
      <c r="J180" s="350"/>
      <c r="K180" s="350"/>
      <c r="L180" s="351" t="s">
        <v>254</v>
      </c>
      <c r="M180" s="351"/>
      <c r="N180" s="377" t="s">
        <v>212</v>
      </c>
      <c r="O180" s="305"/>
      <c r="P180" s="376"/>
      <c r="R180" s="308"/>
      <c r="S180" s="308"/>
      <c r="T180" s="203"/>
      <c r="U180" s="221"/>
      <c r="V180" s="193"/>
      <c r="W180" s="193"/>
    </row>
    <row r="181" spans="2:23" ht="25.5" customHeight="1">
      <c r="B181" s="110"/>
      <c r="C181" s="107"/>
      <c r="D181" s="107"/>
      <c r="E181" s="447" t="s">
        <v>264</v>
      </c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335"/>
      <c r="Q181" s="308"/>
      <c r="R181" s="308"/>
      <c r="S181" s="308"/>
      <c r="T181" s="203"/>
      <c r="U181" s="221"/>
      <c r="V181" s="193"/>
      <c r="W181" s="193"/>
    </row>
    <row r="182" spans="2:23" ht="25.5" customHeight="1">
      <c r="B182" s="145"/>
      <c r="C182" s="138"/>
      <c r="D182" s="138"/>
      <c r="E182" s="40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335"/>
      <c r="Q182" s="308"/>
      <c r="R182" s="308"/>
      <c r="S182" s="308"/>
      <c r="T182" s="203"/>
      <c r="U182" s="221"/>
      <c r="V182" s="193"/>
      <c r="W182" s="193"/>
    </row>
    <row r="183" spans="2:23" ht="25.5" customHeight="1">
      <c r="B183" s="475" t="s">
        <v>250</v>
      </c>
      <c r="C183" s="15"/>
      <c r="D183" s="15"/>
      <c r="E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376"/>
      <c r="R183" s="308"/>
      <c r="S183" s="308"/>
      <c r="T183" s="203"/>
      <c r="U183" s="221"/>
      <c r="V183" s="193"/>
      <c r="W183" s="193"/>
    </row>
    <row r="184" spans="2:23" ht="25.5" customHeight="1">
      <c r="B184" s="547" t="s">
        <v>219</v>
      </c>
      <c r="C184" s="25"/>
      <c r="D184" s="25"/>
      <c r="E184" s="26" t="s">
        <v>184</v>
      </c>
      <c r="F184" s="286"/>
      <c r="G184" s="289"/>
      <c r="H184" s="289"/>
      <c r="I184" s="289"/>
      <c r="J184" s="289"/>
      <c r="K184" s="289"/>
      <c r="L184" s="346" t="s">
        <v>245</v>
      </c>
      <c r="M184" s="346"/>
      <c r="N184" s="289" t="s">
        <v>221</v>
      </c>
      <c r="O184" s="305"/>
      <c r="P184" s="376"/>
      <c r="R184" s="308"/>
      <c r="S184" s="308"/>
      <c r="T184" s="203"/>
      <c r="U184" s="221"/>
      <c r="V184" s="193"/>
      <c r="W184" s="193"/>
    </row>
    <row r="185" spans="2:23" ht="25.5" customHeight="1">
      <c r="B185" s="142" t="s">
        <v>205</v>
      </c>
      <c r="C185" s="137"/>
      <c r="D185" s="137"/>
      <c r="E185" s="32" t="s">
        <v>141</v>
      </c>
      <c r="F185" s="349"/>
      <c r="G185" s="350"/>
      <c r="H185" s="350"/>
      <c r="I185" s="350"/>
      <c r="J185" s="350"/>
      <c r="K185" s="350"/>
      <c r="L185" s="351" t="s">
        <v>254</v>
      </c>
      <c r="M185" s="351"/>
      <c r="N185" s="477">
        <f>PS_consult.jun_EUR</f>
        <v>106.747186</v>
      </c>
      <c r="O185" s="305"/>
      <c r="P185" s="376"/>
      <c r="R185" s="308"/>
      <c r="S185" s="308"/>
      <c r="T185" s="203"/>
      <c r="U185" s="221"/>
      <c r="V185" s="193"/>
      <c r="W185" s="193"/>
    </row>
    <row r="186" spans="2:23" ht="25.5" customHeight="1">
      <c r="B186" s="145" t="s">
        <v>206</v>
      </c>
      <c r="C186" s="138"/>
      <c r="D186" s="138"/>
      <c r="E186" s="40" t="s">
        <v>142</v>
      </c>
      <c r="F186" s="353"/>
      <c r="G186" s="354"/>
      <c r="H186" s="354"/>
      <c r="I186" s="354"/>
      <c r="J186" s="354"/>
      <c r="K186" s="354"/>
      <c r="L186" s="359" t="s">
        <v>254</v>
      </c>
      <c r="M186" s="359"/>
      <c r="N186" s="478">
        <f>PS_consult.sen_EUR</f>
        <v>130.14253199999999</v>
      </c>
      <c r="O186" s="305"/>
      <c r="P186" s="376"/>
      <c r="R186" s="308"/>
      <c r="S186" s="308"/>
      <c r="T186" s="203"/>
      <c r="U186" s="221"/>
      <c r="V186" s="193"/>
      <c r="W186" s="193"/>
    </row>
    <row r="187" spans="2:23" ht="25.5" customHeight="1">
      <c r="B187" s="142" t="s">
        <v>207</v>
      </c>
      <c r="C187" s="137"/>
      <c r="D187" s="137"/>
      <c r="E187" s="32" t="s">
        <v>143</v>
      </c>
      <c r="F187" s="349"/>
      <c r="G187" s="350"/>
      <c r="H187" s="350"/>
      <c r="I187" s="350"/>
      <c r="J187" s="350"/>
      <c r="K187" s="350"/>
      <c r="L187" s="351" t="s">
        <v>254</v>
      </c>
      <c r="M187" s="351"/>
      <c r="N187" s="477">
        <f>PS_cloudarch.jun_EUR</f>
        <v>120.954886</v>
      </c>
      <c r="O187" s="305"/>
      <c r="P187" s="376"/>
      <c r="R187" s="308"/>
      <c r="S187" s="308"/>
      <c r="T187" s="203"/>
      <c r="U187" s="221"/>
      <c r="V187" s="193"/>
      <c r="W187" s="193"/>
    </row>
    <row r="188" spans="2:23" ht="25.5" customHeight="1">
      <c r="B188" s="145" t="s">
        <v>208</v>
      </c>
      <c r="C188" s="138"/>
      <c r="D188" s="138"/>
      <c r="E188" s="40" t="s">
        <v>144</v>
      </c>
      <c r="F188" s="369"/>
      <c r="G188" s="354"/>
      <c r="H188" s="354"/>
      <c r="I188" s="354"/>
      <c r="J188" s="354"/>
      <c r="K188" s="354"/>
      <c r="L188" s="359" t="s">
        <v>254</v>
      </c>
      <c r="M188" s="359"/>
      <c r="N188" s="478">
        <f>PS_cloudarch.sen_EUR</f>
        <v>130.14253199999999</v>
      </c>
      <c r="O188" s="305"/>
      <c r="P188" s="376"/>
      <c r="R188" s="308"/>
      <c r="S188" s="308"/>
      <c r="T188" s="203"/>
      <c r="U188" s="221"/>
      <c r="V188" s="193"/>
      <c r="W188" s="193"/>
    </row>
    <row r="189" spans="2:23" ht="25.5" customHeight="1">
      <c r="B189" s="142" t="s">
        <v>209</v>
      </c>
      <c r="C189" s="137"/>
      <c r="D189" s="137"/>
      <c r="E189" s="32" t="s">
        <v>145</v>
      </c>
      <c r="F189" s="349"/>
      <c r="G189" s="350"/>
      <c r="H189" s="350"/>
      <c r="I189" s="350"/>
      <c r="J189" s="350"/>
      <c r="K189" s="350"/>
      <c r="L189" s="351" t="s">
        <v>254</v>
      </c>
      <c r="M189" s="351"/>
      <c r="N189" s="477">
        <f>PS_pm.jun_EUR</f>
        <v>107.883802</v>
      </c>
      <c r="O189" s="305"/>
      <c r="P189" s="376"/>
      <c r="R189" s="308"/>
      <c r="S189" s="308"/>
      <c r="T189" s="203"/>
      <c r="U189" s="221"/>
      <c r="V189" s="193"/>
      <c r="W189" s="193"/>
    </row>
    <row r="190" spans="2:23" ht="25.5" customHeight="1">
      <c r="B190" s="145" t="s">
        <v>210</v>
      </c>
      <c r="C190" s="138"/>
      <c r="D190" s="138"/>
      <c r="E190" s="40" t="s">
        <v>146</v>
      </c>
      <c r="F190" s="353"/>
      <c r="G190" s="354"/>
      <c r="H190" s="354"/>
      <c r="I190" s="354"/>
      <c r="J190" s="354"/>
      <c r="K190" s="354"/>
      <c r="L190" s="359" t="s">
        <v>254</v>
      </c>
      <c r="M190" s="359"/>
      <c r="N190" s="478">
        <f>PS_pm.sen_EUR</f>
        <v>130.14253199999999</v>
      </c>
      <c r="O190" s="305"/>
      <c r="P190" s="376"/>
      <c r="R190" s="308"/>
      <c r="S190" s="308"/>
      <c r="T190" s="203"/>
      <c r="U190" s="221"/>
      <c r="V190" s="193"/>
      <c r="W190" s="193"/>
    </row>
    <row r="191" spans="2:23" ht="25.5" customHeight="1">
      <c r="B191" s="110"/>
      <c r="C191" s="107"/>
      <c r="D191" s="107"/>
      <c r="E191" s="447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335"/>
      <c r="Q191" s="308"/>
      <c r="R191" s="308"/>
      <c r="S191" s="308"/>
      <c r="T191" s="203"/>
      <c r="U191" s="221"/>
      <c r="V191" s="193"/>
      <c r="W191" s="193"/>
    </row>
    <row r="192" spans="2:23" ht="25.5" customHeight="1">
      <c r="B192" s="145"/>
      <c r="C192" s="138"/>
      <c r="D192" s="138"/>
      <c r="E192" s="40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05"/>
      <c r="Q192" s="169"/>
      <c r="R192" s="360"/>
      <c r="S192" s="308"/>
      <c r="T192" s="203"/>
      <c r="U192" s="221"/>
    </row>
    <row r="193" spans="1:23" ht="25.5" customHeight="1">
      <c r="B193" s="475" t="s">
        <v>357</v>
      </c>
      <c r="C193" s="15"/>
      <c r="D193" s="15"/>
      <c r="E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376"/>
      <c r="R193" s="308"/>
      <c r="S193" s="308"/>
      <c r="T193" s="203"/>
      <c r="U193" s="221"/>
      <c r="V193" s="193"/>
      <c r="W193" s="193"/>
    </row>
    <row r="194" spans="1:23" ht="25.5" customHeight="1">
      <c r="B194" s="547" t="s">
        <v>219</v>
      </c>
      <c r="C194" s="346" t="s">
        <v>251</v>
      </c>
      <c r="D194" s="346"/>
      <c r="E194" s="26" t="s">
        <v>184</v>
      </c>
      <c r="F194" s="286"/>
      <c r="G194" s="346"/>
      <c r="H194" s="346"/>
      <c r="I194" s="346"/>
      <c r="J194" s="346"/>
      <c r="K194" s="346"/>
      <c r="L194" s="346" t="s">
        <v>245</v>
      </c>
      <c r="M194" s="346"/>
      <c r="N194" s="289" t="s">
        <v>252</v>
      </c>
      <c r="O194" s="305"/>
      <c r="P194" s="376"/>
      <c r="R194" s="308"/>
      <c r="S194" s="308"/>
      <c r="T194" s="203"/>
      <c r="U194" s="221"/>
      <c r="V194" s="193"/>
      <c r="W194" s="193"/>
    </row>
    <row r="195" spans="1:23" ht="25.5" customHeight="1">
      <c r="B195" s="142" t="s">
        <v>201</v>
      </c>
      <c r="C195" s="351" t="s">
        <v>304</v>
      </c>
      <c r="D195" s="351"/>
      <c r="E195" s="32" t="s">
        <v>306</v>
      </c>
      <c r="F195" s="349"/>
      <c r="G195" s="351"/>
      <c r="H195" s="351"/>
      <c r="I195" s="351"/>
      <c r="J195" s="351"/>
      <c r="K195" s="351"/>
      <c r="L195" s="351" t="s">
        <v>253</v>
      </c>
      <c r="M195" s="351"/>
      <c r="N195" s="377" t="s">
        <v>212</v>
      </c>
      <c r="O195" s="305"/>
      <c r="P195" s="376"/>
      <c r="R195" s="308"/>
      <c r="S195" s="308"/>
      <c r="T195" s="203"/>
      <c r="U195" s="221"/>
      <c r="V195" s="193"/>
      <c r="W195" s="193"/>
    </row>
    <row r="196" spans="1:23" ht="25.5" customHeight="1">
      <c r="B196" s="145" t="s">
        <v>202</v>
      </c>
      <c r="C196" s="359" t="s">
        <v>304</v>
      </c>
      <c r="D196" s="359"/>
      <c r="E196" s="40" t="s">
        <v>307</v>
      </c>
      <c r="F196" s="353"/>
      <c r="G196" s="359"/>
      <c r="H196" s="359"/>
      <c r="I196" s="359"/>
      <c r="J196" s="359"/>
      <c r="K196" s="359"/>
      <c r="L196" s="359" t="s">
        <v>253</v>
      </c>
      <c r="M196" s="359"/>
      <c r="N196" s="378" t="s">
        <v>212</v>
      </c>
      <c r="O196" s="305"/>
      <c r="P196" s="376"/>
      <c r="R196" s="308"/>
      <c r="S196" s="308"/>
      <c r="T196" s="203"/>
      <c r="U196" s="221"/>
      <c r="V196" s="193"/>
      <c r="W196" s="193"/>
    </row>
    <row r="197" spans="1:23" ht="25.5" customHeight="1">
      <c r="B197" s="142" t="s">
        <v>203</v>
      </c>
      <c r="C197" s="351" t="s">
        <v>305</v>
      </c>
      <c r="D197" s="351"/>
      <c r="E197" s="32" t="s">
        <v>308</v>
      </c>
      <c r="F197" s="349"/>
      <c r="G197" s="351"/>
      <c r="H197" s="351"/>
      <c r="I197" s="351"/>
      <c r="J197" s="351"/>
      <c r="K197" s="351"/>
      <c r="L197" s="351" t="s">
        <v>253</v>
      </c>
      <c r="M197" s="351"/>
      <c r="N197" s="377" t="s">
        <v>212</v>
      </c>
      <c r="O197" s="305"/>
      <c r="P197" s="376"/>
      <c r="R197" s="308"/>
      <c r="S197" s="308"/>
      <c r="T197" s="203"/>
      <c r="U197" s="221"/>
      <c r="V197" s="193"/>
      <c r="W197" s="193"/>
    </row>
    <row r="198" spans="1:23" ht="25.5" customHeight="1">
      <c r="B198" s="145" t="s">
        <v>204</v>
      </c>
      <c r="C198" s="359" t="s">
        <v>305</v>
      </c>
      <c r="D198" s="359"/>
      <c r="E198" s="40" t="s">
        <v>309</v>
      </c>
      <c r="F198" s="353"/>
      <c r="G198" s="359"/>
      <c r="H198" s="359"/>
      <c r="I198" s="359"/>
      <c r="J198" s="359"/>
      <c r="K198" s="359"/>
      <c r="L198" s="359" t="s">
        <v>253</v>
      </c>
      <c r="M198" s="359"/>
      <c r="N198" s="378" t="s">
        <v>212</v>
      </c>
      <c r="O198" s="305"/>
      <c r="P198" s="376"/>
      <c r="R198" s="308"/>
      <c r="S198" s="308"/>
      <c r="T198" s="203"/>
      <c r="U198" s="221"/>
      <c r="V198" s="193"/>
      <c r="W198" s="193"/>
    </row>
    <row r="199" spans="1:23" ht="25.5" customHeight="1">
      <c r="B199" s="110"/>
      <c r="C199" s="107"/>
      <c r="D199" s="107"/>
      <c r="E199" s="109"/>
      <c r="F199" s="370"/>
      <c r="G199" s="371"/>
      <c r="H199" s="371"/>
      <c r="I199" s="373"/>
      <c r="J199" s="373"/>
      <c r="K199" s="373"/>
      <c r="L199" s="373"/>
      <c r="M199" s="373"/>
      <c r="N199" s="373"/>
      <c r="O199" s="203"/>
      <c r="P199" s="221"/>
      <c r="Q199" s="193"/>
      <c r="R199" s="193"/>
    </row>
    <row r="200" spans="1:23" ht="25.5" customHeight="1">
      <c r="B200" s="476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92" t="s">
        <v>255</v>
      </c>
      <c r="C205" s="692"/>
      <c r="D205" s="692"/>
      <c r="E205" s="692"/>
      <c r="F205" s="692"/>
      <c r="G205" s="692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92"/>
      <c r="C206" s="692"/>
      <c r="D206" s="692"/>
      <c r="E206" s="692"/>
      <c r="F206" s="692"/>
      <c r="G206" s="692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92"/>
      <c r="C207" s="692"/>
      <c r="D207" s="692"/>
      <c r="E207" s="692"/>
      <c r="F207" s="692"/>
      <c r="G207" s="692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693" t="s">
        <v>217</v>
      </c>
      <c r="C208" s="693"/>
      <c r="D208" s="693"/>
      <c r="E208" s="693"/>
      <c r="F208" s="693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483" t="s">
        <v>256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311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257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258</v>
      </c>
      <c r="N214" s="403"/>
      <c r="O214" s="404"/>
      <c r="P214" s="207"/>
      <c r="Q214" s="345"/>
    </row>
    <row r="215" spans="1:23" ht="25.5" customHeight="1">
      <c r="A215" s="400"/>
      <c r="B215" s="694" t="s">
        <v>43</v>
      </c>
      <c r="C215" s="694"/>
      <c r="D215" s="72"/>
      <c r="E215" s="73"/>
      <c r="F215" s="405"/>
      <c r="G215" s="406"/>
      <c r="H215" s="406"/>
      <c r="I215" s="406"/>
      <c r="J215" s="406"/>
      <c r="K215" s="407"/>
      <c r="L215" s="407"/>
      <c r="M215" s="480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89" t="s">
        <v>44</v>
      </c>
      <c r="C216" s="689"/>
      <c r="D216" s="74"/>
      <c r="E216" s="75"/>
      <c r="F216" s="409"/>
      <c r="G216" s="410"/>
      <c r="H216" s="410"/>
      <c r="I216" s="410"/>
      <c r="J216" s="410"/>
      <c r="K216" s="411"/>
      <c r="L216" s="411"/>
      <c r="M216" s="481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81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90" t="s">
        <v>46</v>
      </c>
      <c r="C218" s="690"/>
      <c r="D218" s="35"/>
      <c r="E218" s="36"/>
      <c r="F218" s="342"/>
      <c r="G218" s="414"/>
      <c r="H218" s="414"/>
      <c r="I218" s="414"/>
      <c r="J218" s="414"/>
      <c r="K218" s="327"/>
      <c r="L218" s="327"/>
      <c r="M218" s="467">
        <f>N69+N77+N60+N36</f>
        <v>0</v>
      </c>
      <c r="N218" s="297"/>
      <c r="O218" s="413"/>
      <c r="P218" s="415"/>
    </row>
    <row r="219" spans="1:23" ht="25.5" customHeight="1">
      <c r="A219" s="400"/>
      <c r="B219" s="482" t="s">
        <v>225</v>
      </c>
      <c r="C219" s="61"/>
      <c r="D219" s="61"/>
      <c r="E219" s="61"/>
      <c r="F219" s="417"/>
      <c r="G219" s="418"/>
      <c r="H219" s="418"/>
      <c r="I219" s="418"/>
      <c r="J219" s="691">
        <f>SUM(M215:M218)</f>
        <v>0</v>
      </c>
      <c r="K219" s="691"/>
      <c r="L219" s="691"/>
      <c r="M219" s="691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algorithmName="SHA-512" hashValue="Ckkh5vTCOhzH7WZ7Sz444S46IJql736zvMgRN+NBCJYbgaq2biEtNDiI6dDM2D53KiggK26LC0fpAdeBgiK5/w==" saltValue="60UEGrWwZGdquKzo/Nh2og==" spinCount="100000" sheet="1" selectLockedCells="1"/>
  <mergeCells count="65">
    <mergeCell ref="B216:C216"/>
    <mergeCell ref="B218:C218"/>
    <mergeCell ref="J219:M219"/>
    <mergeCell ref="B170:G172"/>
    <mergeCell ref="B173:F173"/>
    <mergeCell ref="B174:F174"/>
    <mergeCell ref="B205:G207"/>
    <mergeCell ref="B208:F208"/>
    <mergeCell ref="B215:C215"/>
    <mergeCell ref="B134:F134"/>
    <mergeCell ref="B117:C117"/>
    <mergeCell ref="F117:G117"/>
    <mergeCell ref="J117:K117"/>
    <mergeCell ref="B118:C118"/>
    <mergeCell ref="F118:G118"/>
    <mergeCell ref="J118:K118"/>
    <mergeCell ref="B119:C119"/>
    <mergeCell ref="F119:G119"/>
    <mergeCell ref="J119:K119"/>
    <mergeCell ref="B130:G132"/>
    <mergeCell ref="B133:F133"/>
    <mergeCell ref="D99:E99"/>
    <mergeCell ref="F99:G99"/>
    <mergeCell ref="H99:I99"/>
    <mergeCell ref="J99:K99"/>
    <mergeCell ref="J116:K116"/>
    <mergeCell ref="D100:E100"/>
    <mergeCell ref="F100:G100"/>
    <mergeCell ref="H100:I100"/>
    <mergeCell ref="J100:K100"/>
    <mergeCell ref="F103:G103"/>
    <mergeCell ref="F104:G104"/>
    <mergeCell ref="B109:G111"/>
    <mergeCell ref="B112:F112"/>
    <mergeCell ref="B113:F113"/>
    <mergeCell ref="C116:D116"/>
    <mergeCell ref="F116:G116"/>
    <mergeCell ref="D98:E98"/>
    <mergeCell ref="F98:G98"/>
    <mergeCell ref="H98:I98"/>
    <mergeCell ref="J98:K98"/>
    <mergeCell ref="D97:E97"/>
    <mergeCell ref="F97:G97"/>
    <mergeCell ref="H97:I97"/>
    <mergeCell ref="J97:K97"/>
    <mergeCell ref="F83:G83"/>
    <mergeCell ref="H83:I83"/>
    <mergeCell ref="B88:G90"/>
    <mergeCell ref="B91:F91"/>
    <mergeCell ref="B92:F92"/>
    <mergeCell ref="D95:E95"/>
    <mergeCell ref="F95:G95"/>
    <mergeCell ref="H95:I95"/>
    <mergeCell ref="J95:K95"/>
    <mergeCell ref="D96:E96"/>
    <mergeCell ref="F96:G96"/>
    <mergeCell ref="H96:I96"/>
    <mergeCell ref="J96:K96"/>
    <mergeCell ref="F82:G82"/>
    <mergeCell ref="H82:I82"/>
    <mergeCell ref="B4:C4"/>
    <mergeCell ref="B15:G17"/>
    <mergeCell ref="B19:F19"/>
    <mergeCell ref="F81:G81"/>
    <mergeCell ref="H81:I81"/>
  </mergeCells>
  <conditionalFormatting sqref="M25:N35 M61:N63 M39:N39">
    <cfRule type="cellIs" dxfId="142" priority="53" operator="greaterThan">
      <formula>0</formula>
    </cfRule>
  </conditionalFormatting>
  <conditionalFormatting sqref="H117 H104 J82:J83 I25:K35 I65:K68">
    <cfRule type="cellIs" dxfId="141" priority="52" operator="greaterThan">
      <formula>0</formula>
    </cfRule>
  </conditionalFormatting>
  <conditionalFormatting sqref="J83">
    <cfRule type="cellIs" dxfId="140" priority="51" operator="greaterThan">
      <formula>0</formula>
    </cfRule>
  </conditionalFormatting>
  <conditionalFormatting sqref="J82">
    <cfRule type="cellIs" dxfId="139" priority="50" operator="greaterThan">
      <formula>0</formula>
    </cfRule>
  </conditionalFormatting>
  <conditionalFormatting sqref="H104">
    <cfRule type="cellIs" dxfId="138" priority="49" operator="greaterThan">
      <formula>0</formula>
    </cfRule>
  </conditionalFormatting>
  <conditionalFormatting sqref="I25:I35">
    <cfRule type="cellIs" dxfId="137" priority="48" operator="lessThan">
      <formula>$J25</formula>
    </cfRule>
  </conditionalFormatting>
  <conditionalFormatting sqref="H119 J119">
    <cfRule type="cellIs" dxfId="136" priority="47" operator="greaterThan">
      <formula>0</formula>
    </cfRule>
  </conditionalFormatting>
  <conditionalFormatting sqref="J119">
    <cfRule type="cellIs" dxfId="135" priority="46" operator="greaterThan">
      <formula>0</formula>
    </cfRule>
  </conditionalFormatting>
  <conditionalFormatting sqref="H118 J118">
    <cfRule type="cellIs" dxfId="134" priority="45" operator="greaterThan">
      <formula>0</formula>
    </cfRule>
  </conditionalFormatting>
  <conditionalFormatting sqref="J118">
    <cfRule type="cellIs" dxfId="133" priority="44" operator="greaterThan">
      <formula>0</formula>
    </cfRule>
  </conditionalFormatting>
  <conditionalFormatting sqref="M65:N65 M67:N67">
    <cfRule type="cellIs" dxfId="132" priority="24" operator="greaterThan">
      <formula>0</formula>
    </cfRule>
  </conditionalFormatting>
  <conditionalFormatting sqref="M66:N66 M68:N68">
    <cfRule type="cellIs" dxfId="131" priority="26" operator="greaterThan">
      <formula>0</formula>
    </cfRule>
  </conditionalFormatting>
  <conditionalFormatting sqref="M66:N66 M68:N68">
    <cfRule type="cellIs" dxfId="130" priority="25" operator="greaterThan">
      <formula>0</formula>
    </cfRule>
  </conditionalFormatting>
  <conditionalFormatting sqref="I74:J76">
    <cfRule type="cellIs" dxfId="129" priority="21" operator="greaterThan">
      <formula>0</formula>
    </cfRule>
  </conditionalFormatting>
  <conditionalFormatting sqref="M74:N75">
    <cfRule type="cellIs" dxfId="128" priority="22" operator="greaterThan">
      <formula>0</formula>
    </cfRule>
  </conditionalFormatting>
  <conditionalFormatting sqref="I74:J76">
    <cfRule type="cellIs" dxfId="127" priority="23" operator="lessThan">
      <formula>$J74</formula>
    </cfRule>
  </conditionalFormatting>
  <conditionalFormatting sqref="M76:N76">
    <cfRule type="cellIs" dxfId="126" priority="20" operator="greaterThan">
      <formula>0</formula>
    </cfRule>
  </conditionalFormatting>
  <conditionalFormatting sqref="K74:K76">
    <cfRule type="cellIs" dxfId="125" priority="19" operator="greaterThan">
      <formula>0</formula>
    </cfRule>
  </conditionalFormatting>
  <conditionalFormatting sqref="I65:I68">
    <cfRule type="cellIs" dxfId="124" priority="11" operator="lessThan">
      <formula>$J65</formula>
    </cfRule>
  </conditionalFormatting>
  <conditionalFormatting sqref="M65:N65 M67:N67">
    <cfRule type="cellIs" dxfId="123" priority="1" operator="greaterThan">
      <formula>0</formula>
    </cfRule>
  </conditionalFormatting>
  <conditionalFormatting sqref="I41:K59">
    <cfRule type="cellIs" dxfId="122" priority="9" operator="greaterThan">
      <formula>0</formula>
    </cfRule>
  </conditionalFormatting>
  <conditionalFormatting sqref="M42:N42 M44:N44 M46:N46 M48:N48 M50:N50 M52:N52 M54:N54 M56:N56 M58:N58">
    <cfRule type="cellIs" dxfId="121" priority="8" operator="greaterThan">
      <formula>0</formula>
    </cfRule>
  </conditionalFormatting>
  <conditionalFormatting sqref="M41:N41 M43:N43 M45:N45 M47:N47 M49:N49 M51:N51 M53:N53 M55:N55 M57:N57 M59:N59">
    <cfRule type="cellIs" dxfId="120" priority="7" operator="greaterThan">
      <formula>0</formula>
    </cfRule>
  </conditionalFormatting>
  <conditionalFormatting sqref="M42:N42 M44:N44 M46:N46 M48:N48 M50:N50 M52:N52 M54:N54 M56:N56 M58:N58">
    <cfRule type="cellIs" dxfId="119" priority="6" operator="greaterThan">
      <formula>0</formula>
    </cfRule>
  </conditionalFormatting>
  <conditionalFormatting sqref="M41:N41 M43:N43 M45:N45 M47:N47 M49:N49 M51:N51 M53:N53 M55:N55 M57:N57 M59:N59">
    <cfRule type="cellIs" dxfId="118" priority="5" operator="greaterThan">
      <formula>0</formula>
    </cfRule>
  </conditionalFormatting>
  <conditionalFormatting sqref="N41:N59">
    <cfRule type="cellIs" dxfId="117" priority="4" operator="greaterThan">
      <formula>0</formula>
    </cfRule>
  </conditionalFormatting>
  <conditionalFormatting sqref="I41:I59">
    <cfRule type="cellIs" dxfId="116" priority="10" operator="lessThan">
      <formula>$J41</formula>
    </cfRule>
  </conditionalFormatting>
  <conditionalFormatting sqref="M66:N66 M68:N68">
    <cfRule type="cellIs" dxfId="115" priority="3" operator="greaterThan">
      <formula>0</formula>
    </cfRule>
  </conditionalFormatting>
  <conditionalFormatting sqref="M65:N65 M67:N67">
    <cfRule type="cellIs" dxfId="114" priority="2" operator="greaterThan">
      <formula>0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2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ignoredErrors>
    <ignoredError sqref="L56 L58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6"/>
  <sheetViews>
    <sheetView showGridLines="0" topLeftCell="A26" zoomScale="90" zoomScaleNormal="90" zoomScaleSheetLayoutView="100" workbookViewId="0">
      <selection activeCell="I28" sqref="I28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" style="10"/>
    <col min="6" max="6" width="18.5" style="204" bestFit="1" customWidth="1"/>
    <col min="7" max="7" width="15" style="204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54"/>
      <c r="C4" s="654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358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63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63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452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55" t="s">
        <v>3</v>
      </c>
      <c r="C15" s="655"/>
      <c r="D15" s="655"/>
      <c r="E15" s="655"/>
      <c r="F15" s="655"/>
      <c r="G15" s="655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55"/>
      <c r="C16" s="655"/>
      <c r="D16" s="655"/>
      <c r="E16" s="655"/>
      <c r="F16" s="655"/>
      <c r="G16" s="655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55"/>
      <c r="C17" s="655"/>
      <c r="D17" s="655"/>
      <c r="E17" s="655"/>
      <c r="F17" s="655"/>
      <c r="G17" s="655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74" t="s">
        <v>5</v>
      </c>
      <c r="C19" s="674"/>
      <c r="D19" s="674"/>
      <c r="E19" s="674"/>
      <c r="F19" s="674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13" t="s">
        <v>8</v>
      </c>
      <c r="D24" s="13" t="s">
        <v>9</v>
      </c>
      <c r="E24" s="14" t="s">
        <v>10</v>
      </c>
      <c r="F24" s="208"/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217">
        <f t="shared" ref="G25:G35" si="0">H25/720</f>
        <v>0.38750000000000001</v>
      </c>
      <c r="H25" s="218">
        <f>C25*IAAS_vcpu_SEK+D25*IAAS_ram_SEK+E25*IAAS_ssd_SEK</f>
        <v>279</v>
      </c>
      <c r="I25" s="219">
        <v>1</v>
      </c>
      <c r="J25" s="219"/>
      <c r="K25" s="219"/>
      <c r="L25" s="216" t="s">
        <v>18</v>
      </c>
      <c r="M25" s="220">
        <f>ROUNDUP(I25*H25,2)</f>
        <v>279</v>
      </c>
      <c r="N25" s="220">
        <f t="shared" ref="N25:N35" si="1">J25*C25*SW_win.ser.201X_SEK+K25*C25*SW_ms.sql.ser_SEK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223">
        <f t="shared" si="0"/>
        <v>0.46388888888888891</v>
      </c>
      <c r="H26" s="224">
        <f t="shared" ref="H26:H35" si="2">C26*IAAS_vcpu_SEK+D26*IAAS_ram_SEK+E26*IAAS_ssd_SEK</f>
        <v>334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1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217">
        <f t="shared" si="0"/>
        <v>0.72777777777777775</v>
      </c>
      <c r="H27" s="218">
        <f t="shared" si="2"/>
        <v>524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1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223">
        <f t="shared" si="0"/>
        <v>1.2555555555555555</v>
      </c>
      <c r="H28" s="224">
        <f t="shared" si="2"/>
        <v>904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1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217">
        <f t="shared" si="0"/>
        <v>2.3111111111111109</v>
      </c>
      <c r="H29" s="218">
        <f t="shared" si="2"/>
        <v>1664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1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223">
        <f t="shared" si="0"/>
        <v>4.4222222222222225</v>
      </c>
      <c r="H30" s="224">
        <f t="shared" si="2"/>
        <v>3184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1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217">
        <f t="shared" si="0"/>
        <v>0.6166666666666667</v>
      </c>
      <c r="H31" s="218">
        <f t="shared" si="2"/>
        <v>444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1"/>
        <v>0</v>
      </c>
      <c r="P31" s="221"/>
      <c r="Q31" s="576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223">
        <f t="shared" si="0"/>
        <v>1.0333333333333334</v>
      </c>
      <c r="H32" s="224">
        <f t="shared" si="2"/>
        <v>744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1"/>
        <v>0</v>
      </c>
      <c r="P32" s="221"/>
      <c r="Q32" s="576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217">
        <f t="shared" si="0"/>
        <v>1.8666666666666667</v>
      </c>
      <c r="H33" s="218">
        <f t="shared" si="2"/>
        <v>1344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1"/>
        <v>0</v>
      </c>
      <c r="P33" s="221"/>
      <c r="Q33" s="576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223">
        <f t="shared" si="0"/>
        <v>3.5333333333333332</v>
      </c>
      <c r="H34" s="224">
        <f t="shared" si="2"/>
        <v>2544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1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217">
        <f t="shared" si="0"/>
        <v>6.8666666666666663</v>
      </c>
      <c r="H35" s="218">
        <f t="shared" si="2"/>
        <v>4944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89"/>
      <c r="D36" s="89"/>
      <c r="E36" s="89"/>
      <c r="F36" s="227"/>
      <c r="G36" s="228"/>
      <c r="H36" s="229"/>
      <c r="I36" s="304" t="str">
        <f>SUM(I25:I35)&amp;" st"</f>
        <v>1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279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13" t="s">
        <v>8</v>
      </c>
      <c r="D40" s="13" t="s">
        <v>9</v>
      </c>
      <c r="E40" s="14" t="s">
        <v>10</v>
      </c>
      <c r="F40" s="208"/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249">
        <f t="shared" ref="G41:G59" si="4">H41/720</f>
        <v>0.2986111111111111</v>
      </c>
      <c r="H41" s="250">
        <f t="shared" ref="H41:H59" si="5">C41*IAAS_vcpu_SEK+D41*IAAS_ram_SEK+E41*IAAS_nvme_SEK</f>
        <v>215</v>
      </c>
      <c r="I41" s="219"/>
      <c r="J41" s="219"/>
      <c r="K41" s="219"/>
      <c r="L41" s="251" t="s">
        <v>18</v>
      </c>
      <c r="M41" s="220">
        <f t="shared" ref="M41:M59" si="6">ROUNDUP(I41*H41,2)</f>
        <v>0</v>
      </c>
      <c r="N41" s="220">
        <f t="shared" ref="N41:N59" si="7">J41*C41*SW_win.ser.201X_SEK+K41*C41*SW_ms.sql.ser_SEK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245">
        <f t="shared" si="4"/>
        <v>1.4027777777777777</v>
      </c>
      <c r="H42" s="246">
        <f t="shared" si="5"/>
        <v>1010</v>
      </c>
      <c r="I42" s="219"/>
      <c r="J42" s="219"/>
      <c r="K42" s="219"/>
      <c r="L42" s="253" t="s">
        <v>18</v>
      </c>
      <c r="M42" s="225">
        <f t="shared" si="6"/>
        <v>0</v>
      </c>
      <c r="N42" s="225">
        <f t="shared" si="7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249">
        <f t="shared" si="4"/>
        <v>2.4583333333333335</v>
      </c>
      <c r="H43" s="250">
        <f t="shared" si="5"/>
        <v>1770</v>
      </c>
      <c r="I43" s="219"/>
      <c r="J43" s="219"/>
      <c r="K43" s="219"/>
      <c r="L43" s="251" t="s">
        <v>18</v>
      </c>
      <c r="M43" s="220">
        <f t="shared" si="6"/>
        <v>0</v>
      </c>
      <c r="N43" s="220">
        <f t="shared" si="7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245">
        <f t="shared" si="4"/>
        <v>4.5694444444444446</v>
      </c>
      <c r="H44" s="246">
        <f t="shared" si="5"/>
        <v>3290</v>
      </c>
      <c r="I44" s="219"/>
      <c r="J44" s="219"/>
      <c r="K44" s="219"/>
      <c r="L44" s="253" t="s">
        <v>18</v>
      </c>
      <c r="M44" s="225">
        <f t="shared" si="6"/>
        <v>0</v>
      </c>
      <c r="N44" s="225">
        <f t="shared" si="7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249">
        <f t="shared" si="4"/>
        <v>4.916666666666667</v>
      </c>
      <c r="H45" s="250">
        <f t="shared" si="5"/>
        <v>3540</v>
      </c>
      <c r="I45" s="219"/>
      <c r="J45" s="219"/>
      <c r="K45" s="219"/>
      <c r="L45" s="251" t="s">
        <v>18</v>
      </c>
      <c r="M45" s="220">
        <f t="shared" si="6"/>
        <v>0</v>
      </c>
      <c r="N45" s="220">
        <f t="shared" si="7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245">
        <f t="shared" si="4"/>
        <v>5.6111111111111107</v>
      </c>
      <c r="H46" s="246">
        <f t="shared" si="5"/>
        <v>4040</v>
      </c>
      <c r="I46" s="219"/>
      <c r="J46" s="219"/>
      <c r="K46" s="219"/>
      <c r="L46" s="253" t="s">
        <v>18</v>
      </c>
      <c r="M46" s="225">
        <f t="shared" si="6"/>
        <v>0</v>
      </c>
      <c r="N46" s="225">
        <f t="shared" si="7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249">
        <f t="shared" si="4"/>
        <v>8.7916666666666661</v>
      </c>
      <c r="H47" s="250">
        <f t="shared" si="5"/>
        <v>6330</v>
      </c>
      <c r="I47" s="219"/>
      <c r="J47" s="219"/>
      <c r="K47" s="219"/>
      <c r="L47" s="251" t="s">
        <v>18</v>
      </c>
      <c r="M47" s="220">
        <f t="shared" si="6"/>
        <v>0</v>
      </c>
      <c r="N47" s="220">
        <f t="shared" si="7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245">
        <f t="shared" si="4"/>
        <v>9.1388888888888893</v>
      </c>
      <c r="H48" s="246">
        <f t="shared" si="5"/>
        <v>6580</v>
      </c>
      <c r="I48" s="219"/>
      <c r="J48" s="219"/>
      <c r="K48" s="219"/>
      <c r="L48" s="253" t="s">
        <v>18</v>
      </c>
      <c r="M48" s="225">
        <f t="shared" si="6"/>
        <v>0</v>
      </c>
      <c r="N48" s="225">
        <f t="shared" si="7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249">
        <f t="shared" si="4"/>
        <v>9.8333333333333339</v>
      </c>
      <c r="H49" s="250">
        <f t="shared" si="5"/>
        <v>7080</v>
      </c>
      <c r="I49" s="219"/>
      <c r="J49" s="219"/>
      <c r="K49" s="219"/>
      <c r="L49" s="251" t="s">
        <v>18</v>
      </c>
      <c r="M49" s="220">
        <f t="shared" si="6"/>
        <v>0</v>
      </c>
      <c r="N49" s="220">
        <f t="shared" si="7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245">
        <f t="shared" si="4"/>
        <v>2.0138888888888888</v>
      </c>
      <c r="H50" s="246">
        <f t="shared" si="5"/>
        <v>1450</v>
      </c>
      <c r="I50" s="219"/>
      <c r="J50" s="219"/>
      <c r="K50" s="219"/>
      <c r="L50" s="253" t="s">
        <v>18</v>
      </c>
      <c r="M50" s="225">
        <f t="shared" si="6"/>
        <v>0</v>
      </c>
      <c r="N50" s="225">
        <f t="shared" si="7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249">
        <f t="shared" si="4"/>
        <v>3.6805555555555554</v>
      </c>
      <c r="H51" s="250">
        <f t="shared" si="5"/>
        <v>2650</v>
      </c>
      <c r="I51" s="219"/>
      <c r="J51" s="219"/>
      <c r="K51" s="219"/>
      <c r="L51" s="251" t="s">
        <v>18</v>
      </c>
      <c r="M51" s="220">
        <f t="shared" si="6"/>
        <v>0</v>
      </c>
      <c r="N51" s="220">
        <f t="shared" si="7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245">
        <f t="shared" si="4"/>
        <v>4.0277777777777777</v>
      </c>
      <c r="H52" s="246">
        <f t="shared" si="5"/>
        <v>2900</v>
      </c>
      <c r="I52" s="219"/>
      <c r="J52" s="219"/>
      <c r="K52" s="219"/>
      <c r="L52" s="253" t="s">
        <v>18</v>
      </c>
      <c r="M52" s="225">
        <f t="shared" si="6"/>
        <v>0</v>
      </c>
      <c r="N52" s="225">
        <f t="shared" si="7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249">
        <f t="shared" ref="G53:G54" si="8">H53/720</f>
        <v>4.7222222222222223</v>
      </c>
      <c r="H53" s="250">
        <f t="shared" ref="H53:H54" si="9">C53*IAAS_vcpu_SEK+D53*IAAS_ram_SEK+E53*IAAS_nvme_SEK</f>
        <v>3400</v>
      </c>
      <c r="I53" s="219"/>
      <c r="J53" s="219"/>
      <c r="K53" s="219"/>
      <c r="L53" s="251" t="s">
        <v>18</v>
      </c>
      <c r="M53" s="220">
        <f t="shared" ref="M53:M54" si="10">ROUNDUP(I53*H53,2)</f>
        <v>0</v>
      </c>
      <c r="N53" s="220">
        <f t="shared" ref="N53:N54" si="11">J53*C53*SW_win.ser.201X_SEK+K53*C53*SW_ms.sql.ser_SEK</f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245">
        <f t="shared" si="8"/>
        <v>7.0138888888888893</v>
      </c>
      <c r="H54" s="246">
        <f t="shared" si="9"/>
        <v>5050</v>
      </c>
      <c r="I54" s="219"/>
      <c r="J54" s="219"/>
      <c r="K54" s="219"/>
      <c r="L54" s="253" t="s">
        <v>18</v>
      </c>
      <c r="M54" s="225">
        <f t="shared" si="10"/>
        <v>0</v>
      </c>
      <c r="N54" s="225">
        <f t="shared" si="11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249">
        <f t="shared" si="4"/>
        <v>7.3611111111111107</v>
      </c>
      <c r="H55" s="250">
        <f t="shared" si="5"/>
        <v>5300</v>
      </c>
      <c r="I55" s="219"/>
      <c r="J55" s="219"/>
      <c r="K55" s="219"/>
      <c r="L55" s="251" t="s">
        <v>18</v>
      </c>
      <c r="M55" s="220">
        <f t="shared" si="6"/>
        <v>0</v>
      </c>
      <c r="N55" s="220">
        <f t="shared" si="7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245">
        <f t="shared" si="4"/>
        <v>8.0555555555555554</v>
      </c>
      <c r="H56" s="246">
        <f t="shared" si="5"/>
        <v>5800</v>
      </c>
      <c r="I56" s="219"/>
      <c r="J56" s="219"/>
      <c r="K56" s="219"/>
      <c r="L56" s="253" t="s">
        <v>18</v>
      </c>
      <c r="M56" s="225">
        <f t="shared" si="6"/>
        <v>0</v>
      </c>
      <c r="N56" s="225">
        <f t="shared" si="7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249">
        <f t="shared" si="4"/>
        <v>13.680555555555555</v>
      </c>
      <c r="H57" s="250">
        <f t="shared" si="5"/>
        <v>9850</v>
      </c>
      <c r="I57" s="219"/>
      <c r="J57" s="219"/>
      <c r="K57" s="219"/>
      <c r="L57" s="251" t="s">
        <v>18</v>
      </c>
      <c r="M57" s="220">
        <f t="shared" si="6"/>
        <v>0</v>
      </c>
      <c r="N57" s="220">
        <f t="shared" si="7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245">
        <f t="shared" si="4"/>
        <v>14.027777777777779</v>
      </c>
      <c r="H58" s="246">
        <f t="shared" si="5"/>
        <v>10100</v>
      </c>
      <c r="I58" s="219"/>
      <c r="J58" s="219"/>
      <c r="K58" s="219"/>
      <c r="L58" s="253" t="s">
        <v>18</v>
      </c>
      <c r="M58" s="225">
        <f t="shared" si="6"/>
        <v>0</v>
      </c>
      <c r="N58" s="225">
        <f t="shared" si="7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249">
        <f t="shared" si="4"/>
        <v>14.722222222222221</v>
      </c>
      <c r="H59" s="250">
        <f t="shared" si="5"/>
        <v>10600</v>
      </c>
      <c r="I59" s="219"/>
      <c r="J59" s="219"/>
      <c r="K59" s="219"/>
      <c r="L59" s="251" t="s">
        <v>18</v>
      </c>
      <c r="M59" s="220">
        <f t="shared" si="6"/>
        <v>0</v>
      </c>
      <c r="N59" s="220">
        <f t="shared" si="7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89"/>
      <c r="D60" s="89"/>
      <c r="E60" s="89"/>
      <c r="F60" s="227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60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13" t="s">
        <v>70</v>
      </c>
      <c r="D64" s="13" t="s">
        <v>9</v>
      </c>
      <c r="E64" s="103" t="s">
        <v>109</v>
      </c>
      <c r="F64" s="208" t="s">
        <v>69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95">
        <f t="shared" ref="G65:G66" si="12">H65/720</f>
        <v>9.6527777777777786</v>
      </c>
      <c r="H65" s="493">
        <f>C65*IAAS_vcpu_SEK+D65*IAAS_ram_SEK+E65*IAAS_nvme_SEK+F65*IAAS_gpu_SEK</f>
        <v>6950</v>
      </c>
      <c r="I65" s="219"/>
      <c r="J65" s="219"/>
      <c r="K65" s="219"/>
      <c r="L65" s="251" t="str">
        <f>L57</f>
        <v>Instanser</v>
      </c>
      <c r="M65" s="220">
        <f t="shared" ref="M65:M66" si="13">ROUNDUP(I65*H65,2)</f>
        <v>0</v>
      </c>
      <c r="N65" s="220">
        <f>J65*C65*SW_win.ser.201X_SEK+K65*C65*SW_ms.sql.ser_SEK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94">
        <f t="shared" si="12"/>
        <v>19.305555555555557</v>
      </c>
      <c r="H66" s="492">
        <f>C66*IAAS_vcpu_SEK+D66*IAAS_ram_SEK+E66*IAAS_nvme_SEK+F66*IAAS_gpu_SEK</f>
        <v>13900</v>
      </c>
      <c r="I66" s="219"/>
      <c r="J66" s="219"/>
      <c r="K66" s="219"/>
      <c r="L66" s="247" t="s">
        <v>18</v>
      </c>
      <c r="M66" s="225">
        <f t="shared" si="13"/>
        <v>0</v>
      </c>
      <c r="N66" s="225">
        <f>J66*C66*SW_win.ser.201X_SEK+K66*C66*SW_ms.sql.ser_SEK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95">
        <f t="shared" ref="G67:G68" si="14">H67/720</f>
        <v>38.611111111111114</v>
      </c>
      <c r="H67" s="493">
        <f>C67*IAAS_vcpu_SEK+D67*IAAS_ram_SEK+E67*IAAS_nvme_SEK+F67*IAAS_gpu_SEK</f>
        <v>27800</v>
      </c>
      <c r="I67" s="219"/>
      <c r="J67" s="219"/>
      <c r="K67" s="219"/>
      <c r="L67" s="251" t="str">
        <f>L59</f>
        <v>Instanser</v>
      </c>
      <c r="M67" s="220">
        <f t="shared" ref="M67:M68" si="15">ROUNDUP(I67*H67,2)</f>
        <v>0</v>
      </c>
      <c r="N67" s="220">
        <f>J67*C67*SW_win.ser.201X_SEK+K67*C67*SW_ms.sql.ser_SEK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94">
        <f t="shared" si="14"/>
        <v>60.555555555555557</v>
      </c>
      <c r="H68" s="492">
        <f>C68*IAAS_vcpu_SEK+D68*IAAS_ram_SEK+E68*IAAS_nvme_SEK+F68*IAAS_gpu_SEK</f>
        <v>43600</v>
      </c>
      <c r="I68" s="219"/>
      <c r="J68" s="219"/>
      <c r="K68" s="219"/>
      <c r="L68" s="247" t="s">
        <v>18</v>
      </c>
      <c r="M68" s="225">
        <f t="shared" si="15"/>
        <v>0</v>
      </c>
      <c r="N68" s="225">
        <f>J68*C68*SW_win.ser.201X_SEK+K68*C68*SW_ms.sql.ser_SEK</f>
        <v>0</v>
      </c>
      <c r="P68" s="221"/>
      <c r="U68" s="202"/>
      <c r="W68" s="202"/>
    </row>
    <row r="69" spans="2:24" s="270" customFormat="1" ht="25.5" customHeight="1">
      <c r="B69" s="516" t="s">
        <v>20</v>
      </c>
      <c r="C69" s="89"/>
      <c r="D69" s="89"/>
      <c r="E69" s="89"/>
      <c r="F69" s="227"/>
      <c r="G69" s="228"/>
      <c r="H69" s="229"/>
      <c r="I69" s="163" t="str">
        <f>SUM(I65:I68)&amp;" st"</f>
        <v>0 st</v>
      </c>
      <c r="J69" s="163" t="str">
        <f>SUM(J65:J68)&amp;" st"</f>
        <v>0 st</v>
      </c>
      <c r="K69" s="163" t="str">
        <f>SUM(K65:K68)&amp;" st"</f>
        <v>0 st</v>
      </c>
      <c r="L69" s="164"/>
      <c r="M69" s="90">
        <f>SUM(M65:M68)</f>
        <v>0</v>
      </c>
      <c r="N69" s="91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47">
      <c r="B73" s="513" t="s">
        <v>79</v>
      </c>
      <c r="C73" s="13" t="s">
        <v>70</v>
      </c>
      <c r="D73" s="13" t="s">
        <v>9</v>
      </c>
      <c r="E73" s="14" t="s">
        <v>109</v>
      </c>
      <c r="F73" s="275"/>
      <c r="G73" s="209" t="s">
        <v>11</v>
      </c>
      <c r="H73" s="209" t="s">
        <v>12</v>
      </c>
      <c r="I73" s="276" t="s">
        <v>13</v>
      </c>
      <c r="J73" s="276" t="s">
        <v>14</v>
      </c>
      <c r="K73" s="276" t="s">
        <v>15</v>
      </c>
      <c r="L73" s="211"/>
      <c r="M73" s="209" t="s">
        <v>16</v>
      </c>
      <c r="N73" s="209" t="s">
        <v>17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249">
        <f t="shared" ref="G74:G76" si="16">H74/720</f>
        <v>9.5</v>
      </c>
      <c r="H74" s="250">
        <f>INSTANCE_p1.2xlarge.16d_SEK</f>
        <v>6840</v>
      </c>
      <c r="I74" s="219"/>
      <c r="J74" s="219"/>
      <c r="K74" s="219"/>
      <c r="L74" s="216" t="s">
        <v>18</v>
      </c>
      <c r="M74" s="220">
        <f t="shared" ref="M74:M75" si="17">ROUNDUP(I74*H74,2)</f>
        <v>0</v>
      </c>
      <c r="N74" s="220">
        <f>J74*C74*SW_win.ser.201X_SEK+K74*C74*SW_ms.sql.ser_SEK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245">
        <f t="shared" si="16"/>
        <v>19</v>
      </c>
      <c r="H75" s="246">
        <f>INSTANCE_p1.4xlarge.16d_SEK</f>
        <v>13680</v>
      </c>
      <c r="I75" s="219"/>
      <c r="J75" s="219"/>
      <c r="K75" s="219"/>
      <c r="L75" s="222" t="str">
        <f t="shared" ref="L75" si="18">L74</f>
        <v>Instanser</v>
      </c>
      <c r="M75" s="225">
        <f t="shared" si="17"/>
        <v>0</v>
      </c>
      <c r="N75" s="225">
        <f>J75*C75*SW_win.ser.201X_SEK+K75*C75*SW_ms.sql.ser_SEK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280">
        <f t="shared" si="16"/>
        <v>38</v>
      </c>
      <c r="H76" s="281">
        <f>INSTANCE_p1.8xlarge.32d_SEK</f>
        <v>27360</v>
      </c>
      <c r="I76" s="219"/>
      <c r="J76" s="219"/>
      <c r="K76" s="219"/>
      <c r="L76" s="216" t="s">
        <v>18</v>
      </c>
      <c r="M76" s="220">
        <f t="shared" ref="M76" si="19">ROUNDUP(I76*H76,2)</f>
        <v>0</v>
      </c>
      <c r="N76" s="220">
        <f>J76*C76*SW_win.ser.201X_SEK+K76*C76*SW_ms.sql.ser_SEK</f>
        <v>0</v>
      </c>
      <c r="O76" s="282"/>
      <c r="P76" s="283"/>
    </row>
    <row r="77" spans="2:24" ht="25.5" customHeight="1">
      <c r="B77" s="517" t="s">
        <v>20</v>
      </c>
      <c r="C77" s="21"/>
      <c r="D77" s="21"/>
      <c r="E77" s="21"/>
      <c r="F77" s="267"/>
      <c r="G77" s="267"/>
      <c r="H77" s="267"/>
      <c r="I77" s="163" t="str">
        <f>SUM(I74:I76)&amp;" st"</f>
        <v>0 st</v>
      </c>
      <c r="J77" s="163" t="str">
        <f>SUM(J74:J76)&amp;" st"</f>
        <v>0 st</v>
      </c>
      <c r="K77" s="163" t="str">
        <f>SUM(K74:K76)&amp;" st"</f>
        <v>0 st</v>
      </c>
      <c r="L77" s="164"/>
      <c r="M77" s="90">
        <f>SUM(M74:M76)</f>
        <v>0</v>
      </c>
      <c r="N77" s="91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21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79</v>
      </c>
      <c r="C81" s="26" t="s">
        <v>185</v>
      </c>
      <c r="D81" s="26"/>
      <c r="E81" s="140" t="s">
        <v>11</v>
      </c>
      <c r="F81" s="657" t="s">
        <v>23</v>
      </c>
      <c r="G81" s="657"/>
      <c r="H81" s="658"/>
      <c r="I81" s="658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82">
        <f>F82/720</f>
        <v>1.6666666666666666E-3</v>
      </c>
      <c r="F82" s="708">
        <f>VOLUME_large_SEK</f>
        <v>1.2</v>
      </c>
      <c r="G82" s="708"/>
      <c r="H82" s="653"/>
      <c r="I82" s="653"/>
      <c r="J82" s="294"/>
      <c r="K82" s="550" t="s">
        <v>26</v>
      </c>
      <c r="L82" s="295"/>
      <c r="M82" s="296"/>
      <c r="N82" s="297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83">
        <f>F83/720</f>
        <v>5.0000000000000001E-3</v>
      </c>
      <c r="F83" s="709">
        <f>VOLUME_fast_SEK</f>
        <v>3.6</v>
      </c>
      <c r="G83" s="709"/>
      <c r="H83" s="662"/>
      <c r="I83" s="662"/>
      <c r="J83" s="298"/>
      <c r="K83" s="551" t="s">
        <v>26</v>
      </c>
      <c r="L83" s="299"/>
      <c r="M83" s="300"/>
      <c r="N83" s="301">
        <f>ROUNDUP(J83*F83,2)</f>
        <v>0</v>
      </c>
      <c r="O83" s="203"/>
      <c r="P83" s="221"/>
      <c r="Y83" s="202"/>
    </row>
    <row r="84" spans="2:25" ht="25.5" customHeight="1">
      <c r="B84" s="516" t="s">
        <v>303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91">
        <f>SUM(N82:N83)</f>
        <v>0</v>
      </c>
      <c r="O84" s="204"/>
      <c r="P84" s="207"/>
    </row>
    <row r="85" spans="2:25" ht="25.5" customHeight="1">
      <c r="B85" s="77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55" t="s">
        <v>27</v>
      </c>
      <c r="C88" s="655"/>
      <c r="D88" s="655"/>
      <c r="E88" s="655"/>
      <c r="F88" s="655"/>
      <c r="G88" s="655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55"/>
      <c r="C89" s="655"/>
      <c r="D89" s="655"/>
      <c r="E89" s="655"/>
      <c r="F89" s="655"/>
      <c r="G89" s="655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55"/>
      <c r="C90" s="655"/>
      <c r="D90" s="655"/>
      <c r="E90" s="655"/>
      <c r="F90" s="655"/>
      <c r="G90" s="655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63" t="s">
        <v>195</v>
      </c>
      <c r="C91" s="663"/>
      <c r="D91" s="663"/>
      <c r="E91" s="663"/>
      <c r="F91" s="663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64" t="s">
        <v>110</v>
      </c>
      <c r="C92" s="664"/>
      <c r="D92" s="664"/>
      <c r="E92" s="664"/>
      <c r="F92" s="664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6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79</v>
      </c>
      <c r="C95" s="12" t="s">
        <v>72</v>
      </c>
      <c r="D95" s="657" t="s">
        <v>71</v>
      </c>
      <c r="E95" s="657"/>
      <c r="F95" s="657"/>
      <c r="G95" s="657"/>
      <c r="H95" s="657"/>
      <c r="I95" s="657"/>
      <c r="J95" s="657"/>
      <c r="K95" s="657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60">
        <f>S3_storage.50_SEK</f>
        <v>350</v>
      </c>
      <c r="E96" s="660"/>
      <c r="F96" s="660"/>
      <c r="G96" s="660"/>
      <c r="H96" s="660"/>
      <c r="I96" s="660"/>
      <c r="J96" s="660"/>
      <c r="K96" s="660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68">
        <f>S3_storage.100_SEK</f>
        <v>270</v>
      </c>
      <c r="E97" s="668"/>
      <c r="F97" s="668"/>
      <c r="G97" s="668"/>
      <c r="H97" s="668"/>
      <c r="I97" s="668"/>
      <c r="J97" s="668"/>
      <c r="K97" s="668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66">
        <f>S3_storage.500_SEK</f>
        <v>200</v>
      </c>
      <c r="E98" s="666"/>
      <c r="F98" s="666"/>
      <c r="G98" s="666"/>
      <c r="H98" s="666"/>
      <c r="I98" s="666"/>
      <c r="J98" s="666"/>
      <c r="K98" s="666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68">
        <f>S3_storage.1000_SEK</f>
        <v>185</v>
      </c>
      <c r="E99" s="668"/>
      <c r="F99" s="668"/>
      <c r="G99" s="668"/>
      <c r="H99" s="668"/>
      <c r="I99" s="668"/>
      <c r="J99" s="668"/>
      <c r="K99" s="668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69" t="str">
        <f>S3_storage.quote_SEK</f>
        <v>Be om offert</v>
      </c>
      <c r="E100" s="669"/>
      <c r="F100" s="669"/>
      <c r="G100" s="669"/>
      <c r="H100" s="669"/>
      <c r="I100" s="669"/>
      <c r="J100" s="669"/>
      <c r="K100" s="669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79</v>
      </c>
      <c r="C103" s="26"/>
      <c r="D103" s="26"/>
      <c r="E103" s="139" t="s">
        <v>11</v>
      </c>
      <c r="F103" s="657" t="s">
        <v>71</v>
      </c>
      <c r="G103" s="657"/>
      <c r="H103" s="288" t="s">
        <v>72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27" cm="1">
        <f t="array" ref="E104">_xlfn.IFS(H104&lt;1001,F104/720,H104&gt;1000,D100)</f>
        <v>0.4861111111111111</v>
      </c>
      <c r="F104" s="705" cm="1">
        <f t="array" ref="F104">_xlfn.IFS(H104&lt;51,D96,H104&lt;101,D97,H104&lt;501,D98,H104&lt;1001,D99,H104&gt;1000,D100)</f>
        <v>350</v>
      </c>
      <c r="G104" s="706"/>
      <c r="H104" s="326"/>
      <c r="I104" s="552" t="s">
        <v>73</v>
      </c>
      <c r="J104" s="328"/>
      <c r="K104" s="328"/>
      <c r="L104" s="328"/>
      <c r="M104" s="329"/>
      <c r="N104" s="505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91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55" t="s">
        <v>32</v>
      </c>
      <c r="C109" s="655"/>
      <c r="D109" s="655"/>
      <c r="E109" s="655"/>
      <c r="F109" s="655"/>
      <c r="G109" s="655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55"/>
      <c r="C110" s="655"/>
      <c r="D110" s="655"/>
      <c r="E110" s="655"/>
      <c r="F110" s="655"/>
      <c r="G110" s="655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55"/>
      <c r="C111" s="655"/>
      <c r="D111" s="655"/>
      <c r="E111" s="655"/>
      <c r="F111" s="655"/>
      <c r="G111" s="655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72" t="s">
        <v>299</v>
      </c>
      <c r="C112" s="672"/>
      <c r="D112" s="672"/>
      <c r="E112" s="672"/>
      <c r="F112" s="672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74" t="s">
        <v>28</v>
      </c>
      <c r="C113" s="674"/>
      <c r="D113" s="674"/>
      <c r="E113" s="674"/>
      <c r="F113" s="674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33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79</v>
      </c>
      <c r="C116" s="657" t="s">
        <v>34</v>
      </c>
      <c r="D116" s="657"/>
      <c r="E116" s="139" t="s">
        <v>11</v>
      </c>
      <c r="F116" s="657" t="s">
        <v>23</v>
      </c>
      <c r="G116" s="657"/>
      <c r="H116" s="288" t="s">
        <v>30</v>
      </c>
      <c r="I116" s="286"/>
      <c r="J116" s="658" t="s">
        <v>35</v>
      </c>
      <c r="K116" s="658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559" t="s">
        <v>106</v>
      </c>
      <c r="C117" s="556"/>
      <c r="D117" s="31" t="s">
        <v>25</v>
      </c>
      <c r="E117" s="31" t="s">
        <v>25</v>
      </c>
      <c r="F117" s="698">
        <f>BAAS_on.demand_SEK</f>
        <v>2.4500000000000002</v>
      </c>
      <c r="G117" s="699"/>
      <c r="H117" s="338"/>
      <c r="I117" s="550" t="s">
        <v>26</v>
      </c>
      <c r="J117" s="678" t="s">
        <v>25</v>
      </c>
      <c r="K117" s="678"/>
      <c r="L117" s="339"/>
      <c r="M117" s="295"/>
      <c r="N117" s="297">
        <f>ROUNDUP(H117*F117,2)</f>
        <v>0</v>
      </c>
      <c r="O117" s="273"/>
      <c r="P117" s="207"/>
    </row>
    <row r="118" spans="1:35" ht="25.5" customHeight="1">
      <c r="A118" s="337"/>
      <c r="B118" s="560" t="s">
        <v>107</v>
      </c>
      <c r="C118" s="558"/>
      <c r="D118" s="33">
        <v>5500</v>
      </c>
      <c r="E118" s="34" t="s">
        <v>25</v>
      </c>
      <c r="F118" s="701">
        <f>BAAS_small_SEK</f>
        <v>1.75</v>
      </c>
      <c r="G118" s="702"/>
      <c r="H118" s="340"/>
      <c r="I118" s="551" t="s">
        <v>26</v>
      </c>
      <c r="J118" s="682">
        <v>0.75</v>
      </c>
      <c r="K118" s="683"/>
      <c r="L118" s="299"/>
      <c r="M118" s="299"/>
      <c r="N118" s="301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561" t="s">
        <v>108</v>
      </c>
      <c r="C119" s="557"/>
      <c r="D119" s="35">
        <v>9500</v>
      </c>
      <c r="E119" s="37" t="s">
        <v>25</v>
      </c>
      <c r="F119" s="703">
        <f>BAAS_large_SEK</f>
        <v>0.92</v>
      </c>
      <c r="G119" s="704"/>
      <c r="H119" s="326"/>
      <c r="I119" s="552" t="s">
        <v>26</v>
      </c>
      <c r="J119" s="687">
        <v>0.75</v>
      </c>
      <c r="K119" s="688"/>
      <c r="L119" s="327"/>
      <c r="M119" s="327"/>
      <c r="N119" s="330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91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37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38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39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40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2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2" s="188" customFormat="1" ht="25.5" customHeight="1">
      <c r="B130" s="655" t="s">
        <v>47</v>
      </c>
      <c r="C130" s="655"/>
      <c r="D130" s="655"/>
      <c r="E130" s="655"/>
      <c r="F130" s="655"/>
      <c r="G130" s="655"/>
      <c r="H130" s="189"/>
      <c r="J130" s="190"/>
      <c r="K130" s="190"/>
      <c r="M130" s="191"/>
      <c r="N130" s="308"/>
      <c r="O130" s="203"/>
      <c r="P130" s="221"/>
    </row>
    <row r="131" spans="2:22" s="188" customFormat="1" ht="25.5" customHeight="1">
      <c r="B131" s="655"/>
      <c r="C131" s="655"/>
      <c r="D131" s="655"/>
      <c r="E131" s="655"/>
      <c r="F131" s="655"/>
      <c r="G131" s="655"/>
      <c r="H131" s="189"/>
      <c r="J131" s="190"/>
      <c r="K131" s="190"/>
      <c r="M131" s="191"/>
      <c r="N131" s="308"/>
      <c r="O131" s="203"/>
      <c r="P131" s="221"/>
    </row>
    <row r="132" spans="2:22" s="188" customFormat="1" ht="25.5" customHeight="1">
      <c r="B132" s="655"/>
      <c r="C132" s="655"/>
      <c r="D132" s="655"/>
      <c r="E132" s="655"/>
      <c r="F132" s="655"/>
      <c r="G132" s="655"/>
      <c r="H132" s="189"/>
      <c r="J132" s="190"/>
      <c r="K132" s="190"/>
      <c r="M132" s="191"/>
      <c r="N132" s="308"/>
      <c r="O132" s="203"/>
      <c r="P132" s="221"/>
    </row>
    <row r="133" spans="2:22" s="188" customFormat="1" ht="25.5" customHeight="1">
      <c r="B133" s="674" t="s">
        <v>28</v>
      </c>
      <c r="C133" s="674"/>
      <c r="D133" s="674"/>
      <c r="E133" s="674"/>
      <c r="F133" s="674"/>
      <c r="H133" s="189"/>
      <c r="J133" s="190"/>
      <c r="K133" s="190"/>
      <c r="M133" s="191"/>
      <c r="N133" s="308"/>
      <c r="O133" s="203"/>
      <c r="P133" s="221"/>
    </row>
    <row r="134" spans="2:22" s="188" customFormat="1" ht="25.5" customHeight="1">
      <c r="B134" s="674"/>
      <c r="C134" s="674"/>
      <c r="D134" s="674"/>
      <c r="E134" s="674"/>
      <c r="F134" s="674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2" s="188" customFormat="1" ht="25.5" customHeight="1">
      <c r="B135" s="141"/>
      <c r="C135" s="141"/>
      <c r="D135" s="141"/>
      <c r="E135" s="141"/>
      <c r="F135" s="201"/>
      <c r="G135" s="195"/>
      <c r="H135" s="196"/>
      <c r="I135" s="195"/>
      <c r="J135" s="197"/>
      <c r="K135" s="198"/>
      <c r="L135" s="195"/>
      <c r="M135" s="199"/>
      <c r="N135" s="308"/>
      <c r="O135" s="203"/>
      <c r="P135" s="221"/>
    </row>
    <row r="136" spans="2:22" s="203" customFormat="1" ht="25.5" customHeight="1">
      <c r="B136" s="23" t="s">
        <v>48</v>
      </c>
      <c r="C136" s="141"/>
      <c r="D136" s="141"/>
      <c r="E136" s="141"/>
      <c r="F136" s="201"/>
      <c r="G136" s="195"/>
      <c r="H136" s="195"/>
      <c r="I136" s="195"/>
      <c r="J136" s="197"/>
      <c r="K136" s="198"/>
      <c r="L136" s="195"/>
      <c r="M136" s="199"/>
      <c r="N136" s="308"/>
      <c r="P136" s="221"/>
      <c r="Q136" s="193"/>
      <c r="R136" s="193"/>
      <c r="S136" s="193"/>
      <c r="T136" s="193"/>
      <c r="U136" s="193"/>
      <c r="V136" s="193"/>
    </row>
    <row r="137" spans="2:22" ht="25.5" customHeight="1">
      <c r="B137" s="547" t="s">
        <v>79</v>
      </c>
      <c r="C137" s="25" t="s">
        <v>22</v>
      </c>
      <c r="D137" s="25"/>
      <c r="E137" s="26" t="s">
        <v>185</v>
      </c>
      <c r="F137" s="286"/>
      <c r="G137" s="286"/>
      <c r="H137" s="286"/>
      <c r="I137" s="286"/>
      <c r="J137" s="286"/>
      <c r="K137" s="286"/>
      <c r="L137" s="346" t="s">
        <v>49</v>
      </c>
      <c r="M137" s="346"/>
      <c r="N137" s="289" t="s">
        <v>12</v>
      </c>
      <c r="O137" s="214"/>
      <c r="P137" s="221"/>
      <c r="Q137" s="348"/>
      <c r="R137" s="347"/>
      <c r="S137" s="308"/>
      <c r="T137" s="203"/>
    </row>
    <row r="138" spans="2:22" ht="25.5" customHeight="1">
      <c r="B138" s="142" t="s">
        <v>167</v>
      </c>
      <c r="C138" s="137" t="s">
        <v>125</v>
      </c>
      <c r="D138" s="137"/>
      <c r="E138" s="41" t="s">
        <v>50</v>
      </c>
      <c r="F138" s="349"/>
      <c r="G138" s="349"/>
      <c r="H138" s="349"/>
      <c r="I138" s="349"/>
      <c r="J138" s="349"/>
      <c r="K138" s="349"/>
      <c r="L138" s="351" t="s">
        <v>178</v>
      </c>
      <c r="M138" s="351"/>
      <c r="N138" s="352">
        <f>NET_publicv4_SEK</f>
        <v>20</v>
      </c>
      <c r="O138" s="204"/>
      <c r="P138" s="221"/>
      <c r="Q138" s="205"/>
      <c r="R138" s="169"/>
      <c r="S138" s="308"/>
      <c r="T138" s="203"/>
    </row>
    <row r="139" spans="2:22" ht="25.5" customHeight="1">
      <c r="B139" s="145" t="s">
        <v>168</v>
      </c>
      <c r="C139" s="138" t="s">
        <v>124</v>
      </c>
      <c r="D139" s="138"/>
      <c r="E139" s="43" t="s">
        <v>50</v>
      </c>
      <c r="F139" s="353"/>
      <c r="G139" s="353"/>
      <c r="H139" s="353"/>
      <c r="I139" s="353"/>
      <c r="J139" s="353"/>
      <c r="K139" s="353"/>
      <c r="L139" s="355" t="s">
        <v>25</v>
      </c>
      <c r="M139" s="355"/>
      <c r="N139" s="356">
        <f>NET_publicv6_SEK</f>
        <v>0</v>
      </c>
      <c r="O139" s="204"/>
      <c r="P139" s="221"/>
      <c r="Q139" s="205"/>
      <c r="R139" s="169"/>
      <c r="S139" s="308"/>
      <c r="T139" s="203"/>
    </row>
    <row r="140" spans="2:22" ht="25.5" customHeight="1">
      <c r="B140" s="142" t="s">
        <v>173</v>
      </c>
      <c r="C140" s="137" t="s">
        <v>123</v>
      </c>
      <c r="D140" s="137"/>
      <c r="E140" s="156"/>
      <c r="F140" s="357"/>
      <c r="G140" s="357"/>
      <c r="H140" s="357"/>
      <c r="I140" s="357"/>
      <c r="J140" s="357"/>
      <c r="K140" s="357"/>
      <c r="L140" s="351" t="s">
        <v>26</v>
      </c>
      <c r="M140" s="351"/>
      <c r="N140" s="352">
        <f>NET_ingress_SEK</f>
        <v>0</v>
      </c>
      <c r="O140" s="204"/>
      <c r="P140" s="221"/>
      <c r="Q140" s="205"/>
      <c r="R140" s="169"/>
      <c r="S140" s="308"/>
      <c r="T140" s="203"/>
    </row>
    <row r="141" spans="2:22" ht="25.5" customHeight="1">
      <c r="B141" s="145" t="s">
        <v>174</v>
      </c>
      <c r="C141" s="138" t="s">
        <v>123</v>
      </c>
      <c r="D141" s="138"/>
      <c r="E141" s="43" t="s">
        <v>175</v>
      </c>
      <c r="F141" s="353"/>
      <c r="G141" s="353"/>
      <c r="H141" s="353"/>
      <c r="I141" s="353"/>
      <c r="J141" s="353"/>
      <c r="K141" s="353"/>
      <c r="L141" s="359" t="s">
        <v>26</v>
      </c>
      <c r="M141" s="359"/>
      <c r="N141" s="356">
        <f>NET_egress_SEK</f>
        <v>0.25</v>
      </c>
      <c r="O141" s="204"/>
      <c r="P141" s="221"/>
      <c r="Q141" s="205"/>
      <c r="R141" s="169"/>
      <c r="S141" s="308"/>
      <c r="T141" s="203"/>
    </row>
    <row r="142" spans="2:22" ht="25.5" customHeight="1">
      <c r="B142" s="142" t="s">
        <v>170</v>
      </c>
      <c r="C142" s="137" t="s">
        <v>126</v>
      </c>
      <c r="D142" s="137"/>
      <c r="E142" s="32"/>
      <c r="F142" s="357"/>
      <c r="G142" s="357"/>
      <c r="H142" s="357"/>
      <c r="I142" s="357"/>
      <c r="J142" s="357"/>
      <c r="K142" s="357"/>
      <c r="L142" s="351" t="s">
        <v>266</v>
      </c>
      <c r="M142" s="351"/>
      <c r="N142" s="352">
        <f>NET_mgn.slb_SEK</f>
        <v>300</v>
      </c>
      <c r="O142" s="169"/>
      <c r="P142" s="221"/>
      <c r="Q142" s="169"/>
      <c r="R142" s="360"/>
      <c r="T142" s="337"/>
    </row>
    <row r="143" spans="2:22" ht="25.5" customHeight="1">
      <c r="B143" s="145" t="s">
        <v>172</v>
      </c>
      <c r="C143" s="138" t="s">
        <v>128</v>
      </c>
      <c r="D143" s="138"/>
      <c r="E143" s="43"/>
      <c r="F143" s="353"/>
      <c r="G143" s="353"/>
      <c r="H143" s="353"/>
      <c r="I143" s="353"/>
      <c r="J143" s="353"/>
      <c r="K143" s="353"/>
      <c r="L143" s="355" t="s">
        <v>25</v>
      </c>
      <c r="M143" s="355"/>
      <c r="N143" s="356">
        <f>NET_rdns_SEK</f>
        <v>0</v>
      </c>
      <c r="O143" s="204"/>
      <c r="P143" s="221"/>
      <c r="Q143" s="205"/>
      <c r="R143" s="169"/>
      <c r="S143" s="308"/>
      <c r="T143" s="203"/>
    </row>
    <row r="144" spans="2:22" ht="25.5" customHeight="1">
      <c r="B144" s="142" t="s">
        <v>171</v>
      </c>
      <c r="C144" s="137" t="s">
        <v>127</v>
      </c>
      <c r="D144" s="137"/>
      <c r="E144" s="32"/>
      <c r="F144" s="357"/>
      <c r="G144" s="357"/>
      <c r="H144" s="357"/>
      <c r="I144" s="357"/>
      <c r="J144" s="357"/>
      <c r="K144" s="357"/>
      <c r="L144" s="362" t="s">
        <v>25</v>
      </c>
      <c r="M144" s="362"/>
      <c r="N144" s="352">
        <f>NET_saferoute_SEK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138" t="s">
        <v>122</v>
      </c>
      <c r="D145" s="138"/>
      <c r="E145" s="43"/>
      <c r="F145" s="353"/>
      <c r="G145" s="353"/>
      <c r="H145" s="353"/>
      <c r="I145" s="353"/>
      <c r="J145" s="353"/>
      <c r="K145" s="353"/>
      <c r="L145" s="355" t="s">
        <v>25</v>
      </c>
      <c r="M145" s="355"/>
      <c r="N145" s="356">
        <f>NET_byoip_SEK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149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80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55" t="s">
        <v>79</v>
      </c>
      <c r="C148" s="25" t="s">
        <v>22</v>
      </c>
      <c r="D148" s="111"/>
      <c r="E148" s="111" t="s">
        <v>185</v>
      </c>
      <c r="F148" s="367"/>
      <c r="G148" s="367"/>
      <c r="H148" s="367"/>
      <c r="I148" s="367"/>
      <c r="J148" s="367"/>
      <c r="K148" s="367"/>
      <c r="L148" s="366" t="s">
        <v>49</v>
      </c>
      <c r="M148" s="366"/>
      <c r="N148" s="368" t="s">
        <v>12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49"/>
      <c r="H149" s="349"/>
      <c r="I149" s="349"/>
      <c r="J149" s="349"/>
      <c r="K149" s="349"/>
      <c r="L149" s="351" t="s">
        <v>8</v>
      </c>
      <c r="M149" s="351"/>
      <c r="N149" s="553">
        <f>SW_win.ser.201X_SEK</f>
        <v>78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3"/>
      <c r="H150" s="353"/>
      <c r="I150" s="353"/>
      <c r="J150" s="353"/>
      <c r="K150" s="353"/>
      <c r="L150" s="359" t="s">
        <v>8</v>
      </c>
      <c r="M150" s="359"/>
      <c r="N150" s="554">
        <f>SW_win.ser.201X_SEK</f>
        <v>78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49"/>
      <c r="H151" s="349"/>
      <c r="I151" s="349"/>
      <c r="J151" s="349"/>
      <c r="K151" s="349"/>
      <c r="L151" s="351" t="s">
        <v>8</v>
      </c>
      <c r="M151" s="351"/>
      <c r="N151" s="553">
        <f>SW_ms.sql.ser_SEK</f>
        <v>1498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3"/>
      <c r="H152" s="353"/>
      <c r="I152" s="353"/>
      <c r="J152" s="353"/>
      <c r="K152" s="353"/>
      <c r="L152" s="359" t="s">
        <v>176</v>
      </c>
      <c r="M152" s="359"/>
      <c r="N152" s="554">
        <f>SW_stackn_SEK</f>
        <v>9800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49"/>
      <c r="H153" s="349"/>
      <c r="I153" s="349"/>
      <c r="J153" s="349"/>
      <c r="K153" s="349"/>
      <c r="L153" s="362" t="s">
        <v>25</v>
      </c>
      <c r="M153" s="362"/>
      <c r="N153" s="553" t="str">
        <f>SW_nextcloud_SEK</f>
        <v>Begär offert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3"/>
      <c r="H154" s="353"/>
      <c r="I154" s="353"/>
      <c r="J154" s="353"/>
      <c r="K154" s="353"/>
      <c r="L154" s="355" t="s">
        <v>25</v>
      </c>
      <c r="M154" s="355"/>
      <c r="N154" s="554" t="str">
        <f>SW_suse_SEK</f>
        <v>Begär offert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49"/>
      <c r="H155" s="349"/>
      <c r="I155" s="349"/>
      <c r="J155" s="349"/>
      <c r="K155" s="349"/>
      <c r="L155" s="362" t="s">
        <v>25</v>
      </c>
      <c r="M155" s="362"/>
      <c r="N155" s="553" t="str">
        <f>SW_cluster.control_SEK</f>
        <v>3x instanspris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3"/>
      <c r="H156" s="353"/>
      <c r="I156" s="353"/>
      <c r="J156" s="353"/>
      <c r="K156" s="353"/>
      <c r="L156" s="359" t="s">
        <v>177</v>
      </c>
      <c r="M156" s="359"/>
      <c r="N156" s="554">
        <f>SW_backup.ninja_SEK</f>
        <v>400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9"/>
      <c r="F157" s="370"/>
      <c r="G157" s="370"/>
      <c r="H157" s="370"/>
      <c r="I157" s="370"/>
      <c r="J157" s="370"/>
      <c r="K157" s="370"/>
      <c r="L157" s="371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20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87</v>
      </c>
      <c r="C159" s="15"/>
      <c r="D159" s="15"/>
      <c r="F159" s="214"/>
      <c r="G159" s="214"/>
      <c r="H159" s="214"/>
      <c r="I159" s="214"/>
      <c r="J159" s="214"/>
      <c r="K159" s="214"/>
      <c r="L159" s="214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79</v>
      </c>
      <c r="C160" s="25"/>
      <c r="D160" s="25"/>
      <c r="E160" s="25" t="s">
        <v>185</v>
      </c>
      <c r="F160" s="286"/>
      <c r="G160" s="286"/>
      <c r="H160" s="286"/>
      <c r="I160" s="286"/>
      <c r="J160" s="286"/>
      <c r="K160" s="286"/>
      <c r="L160" s="289"/>
      <c r="M160" s="346"/>
      <c r="N160" s="289" t="s">
        <v>12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116</v>
      </c>
      <c r="F161" s="349"/>
      <c r="G161" s="349"/>
      <c r="H161" s="349"/>
      <c r="I161" s="349"/>
      <c r="J161" s="349"/>
      <c r="K161" s="349"/>
      <c r="L161" s="350"/>
      <c r="M161" s="700">
        <f>PAAS_man.kubernetes_SEK</f>
        <v>49000</v>
      </c>
      <c r="N161" s="700"/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3"/>
      <c r="H162" s="353"/>
      <c r="I162" s="353"/>
      <c r="J162" s="353"/>
      <c r="K162" s="353"/>
      <c r="L162" s="354"/>
      <c r="M162" s="695">
        <f>PAAS_man.postgres.sql_SEK</f>
        <v>19500</v>
      </c>
      <c r="N162" s="695"/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89</v>
      </c>
      <c r="F163" s="349"/>
      <c r="G163" s="349"/>
      <c r="H163" s="349"/>
      <c r="I163" s="349"/>
      <c r="J163" s="349"/>
      <c r="K163" s="349"/>
      <c r="L163" s="350"/>
      <c r="M163" s="696">
        <f>PAAS_man.elasticsearch_SEK</f>
        <v>19500</v>
      </c>
      <c r="N163" s="696"/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3"/>
      <c r="H164" s="353"/>
      <c r="I164" s="353"/>
      <c r="J164" s="353"/>
      <c r="K164" s="353"/>
      <c r="L164" s="354"/>
      <c r="M164" s="695">
        <f>PAAS_man.redis_SEK</f>
        <v>19000</v>
      </c>
      <c r="N164" s="695"/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49"/>
      <c r="H165" s="349"/>
      <c r="I165" s="349"/>
      <c r="J165" s="349"/>
      <c r="K165" s="349"/>
      <c r="L165" s="350"/>
      <c r="M165" s="696">
        <f>PAAS_man.nats_SEK</f>
        <v>19500</v>
      </c>
      <c r="N165" s="696"/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3"/>
      <c r="H166" s="353"/>
      <c r="I166" s="353"/>
      <c r="J166" s="353"/>
      <c r="K166" s="353"/>
      <c r="L166" s="354"/>
      <c r="M166" s="697">
        <f>PAAS_man.mariadb_SEK</f>
        <v>19500</v>
      </c>
      <c r="N166" s="697"/>
      <c r="O166" s="169"/>
      <c r="P166" s="221"/>
      <c r="Q166" s="169"/>
      <c r="R166" s="360"/>
      <c r="S166" s="308"/>
      <c r="T166" s="203"/>
    </row>
    <row r="167" spans="2:23" ht="25.5" customHeight="1">
      <c r="B167" s="107"/>
      <c r="C167" s="107"/>
      <c r="D167" s="447"/>
      <c r="E167" s="109"/>
      <c r="F167" s="370"/>
      <c r="G167" s="370"/>
      <c r="H167" s="370"/>
      <c r="I167" s="370"/>
      <c r="J167" s="370"/>
      <c r="K167" s="370"/>
      <c r="L167" s="371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55" t="s">
        <v>158</v>
      </c>
      <c r="C170" s="655"/>
      <c r="D170" s="655"/>
      <c r="E170" s="655"/>
      <c r="F170" s="655"/>
      <c r="G170" s="655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55"/>
      <c r="C171" s="655"/>
      <c r="D171" s="655"/>
      <c r="E171" s="655"/>
      <c r="F171" s="655"/>
      <c r="G171" s="655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55"/>
      <c r="C172" s="655"/>
      <c r="D172" s="655"/>
      <c r="E172" s="655"/>
      <c r="F172" s="655"/>
      <c r="G172" s="655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74" t="s">
        <v>28</v>
      </c>
      <c r="C173" s="674"/>
      <c r="D173" s="674"/>
      <c r="E173" s="674"/>
      <c r="F173" s="674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74"/>
      <c r="C174" s="674"/>
      <c r="D174" s="674"/>
      <c r="E174" s="674"/>
      <c r="F174" s="674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221"/>
      <c r="R176" s="308"/>
      <c r="S176" s="308"/>
      <c r="T176" s="203"/>
      <c r="V176" s="193"/>
      <c r="W176" s="193"/>
    </row>
    <row r="177" spans="2:23" ht="25.5" customHeight="1">
      <c r="B177" s="547" t="s">
        <v>79</v>
      </c>
      <c r="C177" s="25"/>
      <c r="D177" s="25" t="s">
        <v>185</v>
      </c>
      <c r="E177" s="140"/>
      <c r="F177" s="286"/>
      <c r="G177" s="289"/>
      <c r="H177" s="289"/>
      <c r="I177" s="289"/>
      <c r="J177" s="289"/>
      <c r="K177" s="289"/>
      <c r="L177" s="346" t="s">
        <v>49</v>
      </c>
      <c r="M177" s="346"/>
      <c r="N177" s="289" t="s">
        <v>36</v>
      </c>
      <c r="O177" s="305"/>
      <c r="P177" s="221"/>
      <c r="R177" s="308"/>
      <c r="S177" s="308"/>
      <c r="T177" s="203"/>
      <c r="V177" s="193"/>
      <c r="W177" s="193"/>
    </row>
    <row r="178" spans="2:23" ht="25.5" customHeight="1">
      <c r="B178" s="142" t="s">
        <v>163</v>
      </c>
      <c r="C178" s="137"/>
      <c r="D178" s="32" t="s">
        <v>160</v>
      </c>
      <c r="E178" s="42"/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511">
        <v>0</v>
      </c>
      <c r="O178" s="305"/>
      <c r="P178" s="221"/>
      <c r="R178" s="308"/>
      <c r="S178" s="308"/>
      <c r="T178" s="203"/>
      <c r="V178" s="193"/>
      <c r="W178" s="193"/>
    </row>
    <row r="179" spans="2:23" ht="25.5" customHeight="1">
      <c r="B179" s="145" t="s">
        <v>164</v>
      </c>
      <c r="C179" s="138"/>
      <c r="D179" s="40" t="s">
        <v>161</v>
      </c>
      <c r="E179" s="33"/>
      <c r="F179" s="353"/>
      <c r="G179" s="354"/>
      <c r="H179" s="354"/>
      <c r="I179" s="354"/>
      <c r="J179" s="354"/>
      <c r="K179" s="354"/>
      <c r="L179" s="359" t="s">
        <v>302</v>
      </c>
      <c r="M179" s="355"/>
      <c r="N179" s="510" t="s">
        <v>301</v>
      </c>
      <c r="O179" s="305"/>
      <c r="P179" s="221"/>
      <c r="R179" s="308"/>
      <c r="S179" s="308"/>
      <c r="T179" s="203"/>
      <c r="V179" s="193"/>
      <c r="W179" s="193"/>
    </row>
    <row r="180" spans="2:23" ht="25.5" customHeight="1">
      <c r="B180" s="142" t="s">
        <v>165</v>
      </c>
      <c r="C180" s="137"/>
      <c r="D180" s="32" t="s">
        <v>162</v>
      </c>
      <c r="E180" s="42"/>
      <c r="F180" s="349"/>
      <c r="G180" s="350"/>
      <c r="H180" s="350"/>
      <c r="I180" s="350"/>
      <c r="J180" s="350"/>
      <c r="K180" s="350"/>
      <c r="L180" s="351" t="s">
        <v>147</v>
      </c>
      <c r="M180" s="351"/>
      <c r="N180" s="511" t="s">
        <v>121</v>
      </c>
      <c r="O180" s="305"/>
      <c r="P180" s="221"/>
      <c r="R180" s="308"/>
      <c r="S180" s="308"/>
      <c r="T180" s="203"/>
      <c r="V180" s="193"/>
      <c r="W180" s="193"/>
    </row>
    <row r="181" spans="2:23" ht="25.5" customHeight="1">
      <c r="B181" s="110"/>
      <c r="C181" s="107"/>
      <c r="D181" s="447" t="s">
        <v>265</v>
      </c>
      <c r="E181" s="109"/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221"/>
      <c r="Q181" s="308"/>
      <c r="R181" s="308"/>
      <c r="S181" s="308"/>
      <c r="T181" s="203"/>
      <c r="V181" s="193"/>
      <c r="W181" s="193"/>
    </row>
    <row r="182" spans="2:23" ht="25.5" customHeight="1">
      <c r="B182" s="145"/>
      <c r="C182" s="138"/>
      <c r="D182" s="40"/>
      <c r="E182" s="33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221"/>
      <c r="Q182" s="308"/>
      <c r="R182" s="308"/>
      <c r="S182" s="308"/>
      <c r="T182" s="203"/>
      <c r="V182" s="193"/>
      <c r="W182" s="193"/>
    </row>
    <row r="183" spans="2:23" ht="25.5" customHeight="1">
      <c r="B183" s="475" t="s">
        <v>148</v>
      </c>
      <c r="C183" s="15"/>
      <c r="D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221"/>
      <c r="R183" s="308"/>
      <c r="S183" s="308"/>
      <c r="T183" s="203"/>
      <c r="V183" s="193"/>
      <c r="W183" s="193"/>
    </row>
    <row r="184" spans="2:23" ht="25.5" customHeight="1">
      <c r="B184" s="547" t="s">
        <v>79</v>
      </c>
      <c r="C184" s="25"/>
      <c r="D184" s="25" t="s">
        <v>185</v>
      </c>
      <c r="E184" s="140"/>
      <c r="F184" s="286"/>
      <c r="G184" s="289"/>
      <c r="H184" s="289"/>
      <c r="I184" s="289"/>
      <c r="J184" s="289"/>
      <c r="K184" s="289"/>
      <c r="L184" s="346" t="s">
        <v>49</v>
      </c>
      <c r="M184" s="346"/>
      <c r="N184" s="289" t="s">
        <v>36</v>
      </c>
      <c r="O184" s="305"/>
      <c r="P184" s="221"/>
      <c r="R184" s="308"/>
      <c r="S184" s="308"/>
      <c r="T184" s="203"/>
      <c r="V184" s="193"/>
      <c r="W184" s="193"/>
    </row>
    <row r="185" spans="2:23" ht="25.5" customHeight="1">
      <c r="B185" s="142" t="s">
        <v>205</v>
      </c>
      <c r="C185" s="137"/>
      <c r="D185" s="32" t="s">
        <v>141</v>
      </c>
      <c r="E185" s="42"/>
      <c r="F185" s="349"/>
      <c r="G185" s="350"/>
      <c r="H185" s="350"/>
      <c r="I185" s="350"/>
      <c r="J185" s="350"/>
      <c r="K185" s="350"/>
      <c r="L185" s="351" t="s">
        <v>147</v>
      </c>
      <c r="M185" s="351"/>
      <c r="N185" s="496">
        <f>PS_consult.jun_SEK</f>
        <v>1127</v>
      </c>
      <c r="O185" s="305"/>
      <c r="P185" s="221"/>
      <c r="R185" s="308"/>
      <c r="S185" s="308"/>
      <c r="T185" s="203"/>
      <c r="V185" s="193"/>
      <c r="W185" s="193"/>
    </row>
    <row r="186" spans="2:23" ht="25.5" customHeight="1">
      <c r="B186" s="145" t="s">
        <v>206</v>
      </c>
      <c r="C186" s="138"/>
      <c r="D186" s="40" t="s">
        <v>142</v>
      </c>
      <c r="E186" s="33"/>
      <c r="F186" s="353"/>
      <c r="G186" s="354"/>
      <c r="H186" s="354"/>
      <c r="I186" s="354"/>
      <c r="J186" s="354"/>
      <c r="K186" s="354"/>
      <c r="L186" s="359" t="s">
        <v>147</v>
      </c>
      <c r="M186" s="359"/>
      <c r="N186" s="497">
        <f>PS_consult.sen_SEK</f>
        <v>1374</v>
      </c>
      <c r="O186" s="305"/>
      <c r="P186" s="221"/>
      <c r="R186" s="308"/>
      <c r="S186" s="308"/>
      <c r="T186" s="203"/>
      <c r="V186" s="193"/>
      <c r="W186" s="193"/>
    </row>
    <row r="187" spans="2:23" ht="25.5" customHeight="1">
      <c r="B187" s="142" t="s">
        <v>207</v>
      </c>
      <c r="C187" s="137"/>
      <c r="D187" s="32" t="s">
        <v>143</v>
      </c>
      <c r="E187" s="42"/>
      <c r="F187" s="349"/>
      <c r="G187" s="350"/>
      <c r="H187" s="350"/>
      <c r="I187" s="350"/>
      <c r="J187" s="350"/>
      <c r="K187" s="350"/>
      <c r="L187" s="351" t="s">
        <v>147</v>
      </c>
      <c r="M187" s="351"/>
      <c r="N187" s="496">
        <f>PS_cloudarch.jun_SEK</f>
        <v>1277</v>
      </c>
      <c r="O187" s="305"/>
      <c r="P187" s="221"/>
      <c r="R187" s="308"/>
      <c r="S187" s="308"/>
      <c r="T187" s="203"/>
      <c r="V187" s="193"/>
      <c r="W187" s="193"/>
    </row>
    <row r="188" spans="2:23" ht="25.5" customHeight="1">
      <c r="B188" s="145" t="s">
        <v>208</v>
      </c>
      <c r="C188" s="138"/>
      <c r="D188" s="40" t="s">
        <v>144</v>
      </c>
      <c r="E188" s="40"/>
      <c r="F188" s="369"/>
      <c r="G188" s="354"/>
      <c r="H188" s="354"/>
      <c r="I188" s="354"/>
      <c r="J188" s="354"/>
      <c r="K188" s="354"/>
      <c r="L188" s="359" t="s">
        <v>147</v>
      </c>
      <c r="M188" s="359"/>
      <c r="N188" s="497">
        <f>PS_cloudarch.sen_SEK</f>
        <v>1374</v>
      </c>
      <c r="O188" s="305"/>
      <c r="P188" s="221"/>
      <c r="R188" s="308"/>
      <c r="S188" s="308"/>
      <c r="T188" s="203"/>
      <c r="V188" s="193"/>
      <c r="W188" s="193"/>
    </row>
    <row r="189" spans="2:23" ht="25.5" customHeight="1">
      <c r="B189" s="142" t="s">
        <v>209</v>
      </c>
      <c r="C189" s="137"/>
      <c r="D189" s="32" t="s">
        <v>145</v>
      </c>
      <c r="E189" s="42"/>
      <c r="F189" s="349"/>
      <c r="G189" s="350"/>
      <c r="H189" s="350"/>
      <c r="I189" s="350"/>
      <c r="J189" s="350"/>
      <c r="K189" s="350"/>
      <c r="L189" s="351" t="s">
        <v>147</v>
      </c>
      <c r="M189" s="351"/>
      <c r="N189" s="496">
        <f>PS_pm.jun_SEK</f>
        <v>1139</v>
      </c>
      <c r="O189" s="305"/>
      <c r="P189" s="221"/>
      <c r="R189" s="308"/>
      <c r="S189" s="308"/>
      <c r="T189" s="203"/>
      <c r="V189" s="193"/>
      <c r="W189" s="193"/>
    </row>
    <row r="190" spans="2:23" ht="25.5" customHeight="1">
      <c r="B190" s="145" t="s">
        <v>210</v>
      </c>
      <c r="C190" s="138"/>
      <c r="D190" s="40" t="s">
        <v>146</v>
      </c>
      <c r="E190" s="33"/>
      <c r="F190" s="353"/>
      <c r="G190" s="354"/>
      <c r="H190" s="354"/>
      <c r="I190" s="354"/>
      <c r="J190" s="354"/>
      <c r="K190" s="354"/>
      <c r="L190" s="359" t="s">
        <v>147</v>
      </c>
      <c r="M190" s="359"/>
      <c r="N190" s="497">
        <f>PS_pm.sen_SEK</f>
        <v>1374</v>
      </c>
      <c r="O190" s="305"/>
      <c r="P190" s="221"/>
      <c r="R190" s="308"/>
      <c r="S190" s="308"/>
      <c r="T190" s="203"/>
      <c r="V190" s="193"/>
      <c r="W190" s="193"/>
    </row>
    <row r="191" spans="2:23" ht="25.5" customHeight="1">
      <c r="B191" s="110"/>
      <c r="C191" s="107"/>
      <c r="D191" s="447"/>
      <c r="E191" s="109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221"/>
      <c r="Q191" s="308"/>
      <c r="R191" s="308"/>
      <c r="S191" s="308"/>
      <c r="T191" s="203"/>
      <c r="V191" s="193"/>
      <c r="W191" s="193"/>
    </row>
    <row r="192" spans="2:23" ht="25.5" customHeight="1">
      <c r="B192" s="138"/>
      <c r="C192" s="138"/>
      <c r="D192" s="40"/>
      <c r="E192" s="33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21"/>
      <c r="Q192" s="169"/>
      <c r="R192" s="360"/>
      <c r="S192" s="308"/>
      <c r="T192" s="203"/>
    </row>
    <row r="193" spans="1:23" ht="25.5" customHeight="1">
      <c r="B193" s="475" t="s">
        <v>149</v>
      </c>
      <c r="C193" s="15"/>
      <c r="D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221"/>
      <c r="R193" s="308"/>
      <c r="S193" s="308"/>
      <c r="T193" s="203"/>
      <c r="V193" s="193"/>
      <c r="W193" s="193"/>
    </row>
    <row r="194" spans="1:23" ht="25.5" customHeight="1">
      <c r="B194" s="547" t="s">
        <v>79</v>
      </c>
      <c r="C194" s="25"/>
      <c r="D194" s="25" t="s">
        <v>185</v>
      </c>
      <c r="E194" s="140"/>
      <c r="F194" s="286"/>
      <c r="G194" s="346" t="s">
        <v>151</v>
      </c>
      <c r="H194" s="346"/>
      <c r="I194" s="346"/>
      <c r="J194" s="346"/>
      <c r="K194" s="346"/>
      <c r="L194" s="346" t="s">
        <v>49</v>
      </c>
      <c r="M194" s="346"/>
      <c r="N194" s="289" t="s">
        <v>36</v>
      </c>
      <c r="O194" s="305"/>
      <c r="P194" s="221"/>
      <c r="R194" s="308"/>
      <c r="S194" s="308"/>
      <c r="T194" s="203"/>
      <c r="V194" s="193"/>
      <c r="W194" s="193"/>
    </row>
    <row r="195" spans="1:23" ht="25.5" customHeight="1">
      <c r="B195" s="142" t="s">
        <v>201</v>
      </c>
      <c r="C195" s="137"/>
      <c r="D195" s="32" t="s">
        <v>154</v>
      </c>
      <c r="E195" s="42"/>
      <c r="F195" s="349"/>
      <c r="G195" s="351" t="s">
        <v>152</v>
      </c>
      <c r="H195" s="351"/>
      <c r="I195" s="351"/>
      <c r="J195" s="351"/>
      <c r="K195" s="351"/>
      <c r="L195" s="351" t="s">
        <v>150</v>
      </c>
      <c r="M195" s="351"/>
      <c r="N195" s="511" t="s">
        <v>121</v>
      </c>
      <c r="O195" s="305"/>
      <c r="P195" s="221"/>
      <c r="R195" s="308"/>
      <c r="S195" s="308"/>
      <c r="T195" s="203"/>
      <c r="V195" s="193"/>
      <c r="W195" s="193"/>
    </row>
    <row r="196" spans="1:23" ht="25.5" customHeight="1">
      <c r="B196" s="145" t="s">
        <v>202</v>
      </c>
      <c r="C196" s="138"/>
      <c r="D196" s="40" t="s">
        <v>155</v>
      </c>
      <c r="E196" s="33"/>
      <c r="F196" s="353"/>
      <c r="G196" s="359" t="s">
        <v>152</v>
      </c>
      <c r="H196" s="359"/>
      <c r="I196" s="359"/>
      <c r="J196" s="359"/>
      <c r="K196" s="359"/>
      <c r="L196" s="359" t="s">
        <v>150</v>
      </c>
      <c r="M196" s="359"/>
      <c r="N196" s="510" t="s">
        <v>121</v>
      </c>
      <c r="O196" s="305"/>
      <c r="P196" s="221"/>
      <c r="R196" s="308"/>
      <c r="S196" s="308"/>
      <c r="T196" s="203"/>
      <c r="V196" s="193"/>
      <c r="W196" s="193"/>
    </row>
    <row r="197" spans="1:23" ht="25.5" customHeight="1">
      <c r="B197" s="142" t="s">
        <v>203</v>
      </c>
      <c r="C197" s="137"/>
      <c r="D197" s="32" t="s">
        <v>156</v>
      </c>
      <c r="E197" s="42"/>
      <c r="F197" s="349"/>
      <c r="G197" s="351" t="s">
        <v>153</v>
      </c>
      <c r="H197" s="351"/>
      <c r="I197" s="351"/>
      <c r="J197" s="351"/>
      <c r="K197" s="351"/>
      <c r="L197" s="351" t="s">
        <v>150</v>
      </c>
      <c r="M197" s="351"/>
      <c r="N197" s="511" t="s">
        <v>121</v>
      </c>
      <c r="O197" s="305"/>
      <c r="P197" s="221"/>
      <c r="R197" s="308"/>
      <c r="S197" s="308"/>
      <c r="T197" s="203"/>
      <c r="V197" s="193"/>
      <c r="W197" s="193"/>
    </row>
    <row r="198" spans="1:23" ht="25.5" customHeight="1">
      <c r="B198" s="145" t="s">
        <v>204</v>
      </c>
      <c r="C198" s="138"/>
      <c r="D198" s="40" t="s">
        <v>157</v>
      </c>
      <c r="E198" s="33"/>
      <c r="F198" s="353"/>
      <c r="G198" s="359" t="s">
        <v>153</v>
      </c>
      <c r="H198" s="359"/>
      <c r="I198" s="359"/>
      <c r="J198" s="359"/>
      <c r="K198" s="359"/>
      <c r="L198" s="359" t="s">
        <v>150</v>
      </c>
      <c r="M198" s="359"/>
      <c r="N198" s="510" t="s">
        <v>121</v>
      </c>
      <c r="O198" s="305"/>
      <c r="P198" s="221"/>
      <c r="R198" s="308"/>
      <c r="S198" s="308"/>
      <c r="T198" s="203"/>
      <c r="V198" s="193"/>
      <c r="W198" s="193"/>
    </row>
    <row r="199" spans="1:23" ht="25.5" customHeight="1">
      <c r="B199" s="107"/>
      <c r="C199" s="107"/>
      <c r="D199" s="447"/>
      <c r="E199" s="109"/>
      <c r="F199" s="370"/>
      <c r="G199" s="371"/>
      <c r="H199" s="371"/>
      <c r="I199" s="371"/>
      <c r="J199" s="371"/>
      <c r="K199" s="371"/>
      <c r="L199" s="371"/>
      <c r="M199" s="371"/>
      <c r="N199" s="373"/>
      <c r="O199" s="305"/>
      <c r="P199" s="221"/>
      <c r="Q199" s="308"/>
      <c r="R199" s="308"/>
      <c r="S199" s="308"/>
      <c r="T199" s="203"/>
      <c r="V199" s="193"/>
      <c r="W199" s="193"/>
    </row>
    <row r="200" spans="1:23" ht="25.5" customHeight="1">
      <c r="B200" s="30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92" t="s">
        <v>42</v>
      </c>
      <c r="C205" s="692"/>
      <c r="D205" s="692"/>
      <c r="E205" s="692"/>
      <c r="F205" s="692"/>
      <c r="G205" s="692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92"/>
      <c r="C206" s="692"/>
      <c r="D206" s="692"/>
      <c r="E206" s="692"/>
      <c r="F206" s="692"/>
      <c r="G206" s="692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92"/>
      <c r="C207" s="692"/>
      <c r="D207" s="692"/>
      <c r="E207" s="692"/>
      <c r="F207" s="692"/>
      <c r="G207" s="692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707" t="s">
        <v>28</v>
      </c>
      <c r="C208" s="707"/>
      <c r="D208" s="707"/>
      <c r="E208" s="707"/>
      <c r="F208" s="707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70" t="s">
        <v>166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41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42</v>
      </c>
      <c r="N214" s="403"/>
      <c r="O214" s="404"/>
      <c r="P214" s="207"/>
      <c r="Q214" s="345"/>
    </row>
    <row r="215" spans="1:23" ht="25.5" customHeight="1">
      <c r="A215" s="400"/>
      <c r="B215" s="694" t="s">
        <v>43</v>
      </c>
      <c r="C215" s="694"/>
      <c r="D215" s="72"/>
      <c r="E215" s="73"/>
      <c r="F215" s="405"/>
      <c r="G215" s="406"/>
      <c r="H215" s="406"/>
      <c r="I215" s="406"/>
      <c r="J215" s="406"/>
      <c r="K215" s="407"/>
      <c r="L215" s="407"/>
      <c r="M215" s="408">
        <f>M69+M77+M60+M36+N84</f>
        <v>279</v>
      </c>
      <c r="N215" s="297"/>
      <c r="O215" s="400"/>
      <c r="P215" s="207"/>
      <c r="Q215" s="345"/>
    </row>
    <row r="216" spans="1:23" ht="25.5" customHeight="1">
      <c r="A216" s="400"/>
      <c r="B216" s="689" t="s">
        <v>44</v>
      </c>
      <c r="C216" s="689"/>
      <c r="D216" s="74"/>
      <c r="E216" s="75"/>
      <c r="F216" s="409"/>
      <c r="G216" s="410"/>
      <c r="H216" s="410"/>
      <c r="I216" s="410"/>
      <c r="J216" s="410"/>
      <c r="K216" s="411"/>
      <c r="L216" s="411"/>
      <c r="M216" s="412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12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90" t="s">
        <v>46</v>
      </c>
      <c r="C218" s="690"/>
      <c r="D218" s="35"/>
      <c r="E218" s="36"/>
      <c r="F218" s="342"/>
      <c r="G218" s="414"/>
      <c r="H218" s="414"/>
      <c r="I218" s="414"/>
      <c r="J218" s="414"/>
      <c r="K218" s="327"/>
      <c r="L218" s="327"/>
      <c r="M218" s="330">
        <f>N69+N77+N60+N36</f>
        <v>0</v>
      </c>
      <c r="N218" s="297"/>
      <c r="O218" s="413"/>
      <c r="P218" s="415"/>
    </row>
    <row r="219" spans="1:23" ht="25.5" customHeight="1">
      <c r="A219" s="400"/>
      <c r="B219" s="60" t="s">
        <v>20</v>
      </c>
      <c r="C219" s="61"/>
      <c r="D219" s="61"/>
      <c r="E219" s="61"/>
      <c r="F219" s="417"/>
      <c r="G219" s="418"/>
      <c r="H219" s="418"/>
      <c r="I219" s="418"/>
      <c r="J219" s="710">
        <f>SUM(M215:M218)</f>
        <v>279</v>
      </c>
      <c r="K219" s="710"/>
      <c r="L219" s="710"/>
      <c r="M219" s="710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algorithmName="SHA-512" hashValue="1lXtOaxfWYQhCeMiPqIAAp2yu3aj7KEFkKsWahBxnvaIhs3r+dwTtcWfbMmYwTQ5c0oYAT75FZRf22Tganxu3A==" saltValue="6LrVbogyz6N44fZX7i1l+w==" spinCount="100000" sheet="1" selectLockedCells="1"/>
  <mergeCells count="68">
    <mergeCell ref="J99:K99"/>
    <mergeCell ref="H100:I100"/>
    <mergeCell ref="J100:K100"/>
    <mergeCell ref="H99:I99"/>
    <mergeCell ref="J96:K96"/>
    <mergeCell ref="J97:K97"/>
    <mergeCell ref="H98:I98"/>
    <mergeCell ref="J98:K98"/>
    <mergeCell ref="H97:I97"/>
    <mergeCell ref="J219:M219"/>
    <mergeCell ref="D95:E95"/>
    <mergeCell ref="D96:E96"/>
    <mergeCell ref="D97:E97"/>
    <mergeCell ref="D98:E98"/>
    <mergeCell ref="D99:E99"/>
    <mergeCell ref="D100:E100"/>
    <mergeCell ref="F96:G96"/>
    <mergeCell ref="F97:G97"/>
    <mergeCell ref="F98:G98"/>
    <mergeCell ref="F99:G99"/>
    <mergeCell ref="F100:G100"/>
    <mergeCell ref="J95:K95"/>
    <mergeCell ref="H96:I96"/>
    <mergeCell ref="H95:I95"/>
    <mergeCell ref="J116:K116"/>
    <mergeCell ref="B4:C4"/>
    <mergeCell ref="F81:G81"/>
    <mergeCell ref="F82:G82"/>
    <mergeCell ref="F83:G83"/>
    <mergeCell ref="H81:I81"/>
    <mergeCell ref="H82:I82"/>
    <mergeCell ref="H83:I83"/>
    <mergeCell ref="B15:G17"/>
    <mergeCell ref="B19:F19"/>
    <mergeCell ref="B218:C218"/>
    <mergeCell ref="B113:F113"/>
    <mergeCell ref="B205:G207"/>
    <mergeCell ref="B208:F208"/>
    <mergeCell ref="B215:C215"/>
    <mergeCell ref="B216:C216"/>
    <mergeCell ref="F116:G116"/>
    <mergeCell ref="B133:F133"/>
    <mergeCell ref="B130:G132"/>
    <mergeCell ref="B134:F134"/>
    <mergeCell ref="C116:D116"/>
    <mergeCell ref="B170:G172"/>
    <mergeCell ref="B173:F173"/>
    <mergeCell ref="B174:F174"/>
    <mergeCell ref="B88:G90"/>
    <mergeCell ref="B91:F91"/>
    <mergeCell ref="B92:F92"/>
    <mergeCell ref="B109:G111"/>
    <mergeCell ref="B112:F112"/>
    <mergeCell ref="F103:G103"/>
    <mergeCell ref="F104:G104"/>
    <mergeCell ref="F95:G95"/>
    <mergeCell ref="M164:N164"/>
    <mergeCell ref="M165:N165"/>
    <mergeCell ref="M166:N166"/>
    <mergeCell ref="J117:K117"/>
    <mergeCell ref="F117:G117"/>
    <mergeCell ref="M161:N161"/>
    <mergeCell ref="M162:N162"/>
    <mergeCell ref="M163:N163"/>
    <mergeCell ref="F118:G118"/>
    <mergeCell ref="J119:K119"/>
    <mergeCell ref="F119:G119"/>
    <mergeCell ref="J118:K118"/>
  </mergeCells>
  <phoneticPr fontId="2" type="noConversion"/>
  <conditionalFormatting sqref="M25:N35 M61:N63 M39:N39">
    <cfRule type="cellIs" dxfId="113" priority="93" operator="greaterThan">
      <formula>0</formula>
    </cfRule>
  </conditionalFormatting>
  <conditionalFormatting sqref="H117 H104 J82:J83 I25:K35 I65:K68">
    <cfRule type="cellIs" dxfId="112" priority="92" operator="greaterThan">
      <formula>0</formula>
    </cfRule>
  </conditionalFormatting>
  <conditionalFormatting sqref="J83">
    <cfRule type="cellIs" dxfId="111" priority="91" operator="greaterThan">
      <formula>0</formula>
    </cfRule>
  </conditionalFormatting>
  <conditionalFormatting sqref="J82">
    <cfRule type="cellIs" dxfId="110" priority="90" operator="greaterThan">
      <formula>0</formula>
    </cfRule>
  </conditionalFormatting>
  <conditionalFormatting sqref="H104">
    <cfRule type="cellIs" dxfId="109" priority="87" operator="greaterThan">
      <formula>0</formula>
    </cfRule>
  </conditionalFormatting>
  <conditionalFormatting sqref="I25:I35">
    <cfRule type="cellIs" dxfId="108" priority="73" operator="lessThan">
      <formula>$J25</formula>
    </cfRule>
  </conditionalFormatting>
  <conditionalFormatting sqref="H119 J119">
    <cfRule type="cellIs" dxfId="107" priority="65" operator="greaterThan">
      <formula>0</formula>
    </cfRule>
  </conditionalFormatting>
  <conditionalFormatting sqref="J119">
    <cfRule type="cellIs" dxfId="106" priority="64" operator="greaterThan">
      <formula>0</formula>
    </cfRule>
  </conditionalFormatting>
  <conditionalFormatting sqref="H118 J118">
    <cfRule type="cellIs" dxfId="105" priority="63" operator="greaterThan">
      <formula>0</formula>
    </cfRule>
  </conditionalFormatting>
  <conditionalFormatting sqref="J118">
    <cfRule type="cellIs" dxfId="104" priority="62" operator="greaterThan">
      <formula>0</formula>
    </cfRule>
  </conditionalFormatting>
  <conditionalFormatting sqref="M65:N65 M67:N67">
    <cfRule type="cellIs" dxfId="103" priority="31" operator="greaterThan">
      <formula>0</formula>
    </cfRule>
  </conditionalFormatting>
  <conditionalFormatting sqref="I65:K68">
    <cfRule type="cellIs" dxfId="102" priority="42" operator="lessThan">
      <formula>$J65</formula>
    </cfRule>
  </conditionalFormatting>
  <conditionalFormatting sqref="M66:N66 M68:N68">
    <cfRule type="cellIs" dxfId="101" priority="37" operator="greaterThan">
      <formula>0</formula>
    </cfRule>
  </conditionalFormatting>
  <conditionalFormatting sqref="M66:N66 M68:N68">
    <cfRule type="cellIs" dxfId="100" priority="34" operator="greaterThan">
      <formula>0</formula>
    </cfRule>
  </conditionalFormatting>
  <conditionalFormatting sqref="I74:J76">
    <cfRule type="cellIs" dxfId="99" priority="23" operator="greaterThan">
      <formula>0</formula>
    </cfRule>
  </conditionalFormatting>
  <conditionalFormatting sqref="M74:N75">
    <cfRule type="cellIs" dxfId="98" priority="24" operator="greaterThan">
      <formula>0</formula>
    </cfRule>
  </conditionalFormatting>
  <conditionalFormatting sqref="I74:J76">
    <cfRule type="cellIs" dxfId="97" priority="25" operator="lessThan">
      <formula>$J74</formula>
    </cfRule>
  </conditionalFormatting>
  <conditionalFormatting sqref="M76:N76">
    <cfRule type="cellIs" dxfId="96" priority="21" operator="greaterThan">
      <formula>0</formula>
    </cfRule>
  </conditionalFormatting>
  <conditionalFormatting sqref="K74:K76">
    <cfRule type="cellIs" dxfId="95" priority="19" operator="greaterThan">
      <formula>0</formula>
    </cfRule>
  </conditionalFormatting>
  <conditionalFormatting sqref="M42:N42 M44:N44 M46:N46 M48:N48 M50:N50 M52:N52 M54:N54 M56:N56 M58:N58">
    <cfRule type="cellIs" dxfId="94" priority="8" operator="greaterThan">
      <formula>0</formula>
    </cfRule>
  </conditionalFormatting>
  <conditionalFormatting sqref="M65:N65 M67:N67">
    <cfRule type="cellIs" dxfId="93" priority="1" operator="greaterThan">
      <formula>0</formula>
    </cfRule>
  </conditionalFormatting>
  <conditionalFormatting sqref="I41:K59">
    <cfRule type="cellIs" dxfId="92" priority="9" operator="greaterThan">
      <formula>0</formula>
    </cfRule>
  </conditionalFormatting>
  <conditionalFormatting sqref="M41:N41 M43:N43 M45:N45 M47:N47 M49:N49 M51:N51 M53:N53 M55:N55 M57:N57 M59:N59">
    <cfRule type="cellIs" dxfId="91" priority="7" operator="greaterThan">
      <formula>0</formula>
    </cfRule>
  </conditionalFormatting>
  <conditionalFormatting sqref="M42:N42 M44:N44 M46:N46 M48:N48 M50:N50 M52:N52 M54:N54 M56:N56 M58:N58">
    <cfRule type="cellIs" dxfId="90" priority="6" operator="greaterThan">
      <formula>0</formula>
    </cfRule>
  </conditionalFormatting>
  <conditionalFormatting sqref="M41:N41 M43:N43 M45:N45 M47:N47 M49:N49 M51:N51 M53:N53 M55:N55 M57:N57 M59:N59">
    <cfRule type="cellIs" dxfId="89" priority="5" operator="greaterThan">
      <formula>0</formula>
    </cfRule>
  </conditionalFormatting>
  <conditionalFormatting sqref="N41:N59">
    <cfRule type="cellIs" dxfId="88" priority="4" operator="greaterThan">
      <formula>0</formula>
    </cfRule>
  </conditionalFormatting>
  <conditionalFormatting sqref="I41:I59">
    <cfRule type="cellIs" dxfId="87" priority="10" operator="lessThan">
      <formula>$J41</formula>
    </cfRule>
  </conditionalFormatting>
  <conditionalFormatting sqref="M66:N66 M68:N68">
    <cfRule type="cellIs" dxfId="86" priority="3" operator="greaterThan">
      <formula>0</formula>
    </cfRule>
  </conditionalFormatting>
  <conditionalFormatting sqref="M65:N65 M67:N67">
    <cfRule type="cellIs" dxfId="85" priority="2" operator="greaterThan">
      <formula>0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2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8DC3-30AA-B849-870E-7E617BDE3912}">
  <sheetPr>
    <pageSetUpPr fitToPage="1"/>
  </sheetPr>
  <dimension ref="A1:AI606"/>
  <sheetViews>
    <sheetView showGridLines="0" tabSelected="1" zoomScale="90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" style="10"/>
    <col min="6" max="6" width="18.5" style="204" bestFit="1" customWidth="1"/>
    <col min="7" max="7" width="15" style="204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54"/>
      <c r="C4" s="654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360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403</v>
      </c>
      <c r="C8" s="63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63"/>
      <c r="D9" s="79" t="s">
        <v>113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452"/>
      <c r="D10" s="2" t="str">
        <f>"1 SEK = "&amp;NOK&amp;" NOK"</f>
        <v>1 SEK = 1 NOK</v>
      </c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0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55" t="s">
        <v>3</v>
      </c>
      <c r="C15" s="655"/>
      <c r="D15" s="655"/>
      <c r="E15" s="655"/>
      <c r="F15" s="655"/>
      <c r="G15" s="655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55"/>
      <c r="C16" s="655"/>
      <c r="D16" s="655"/>
      <c r="E16" s="655"/>
      <c r="F16" s="655"/>
      <c r="G16" s="655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55"/>
      <c r="C17" s="655"/>
      <c r="D17" s="655"/>
      <c r="E17" s="655"/>
      <c r="F17" s="655"/>
      <c r="G17" s="655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361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74" t="s">
        <v>362</v>
      </c>
      <c r="C19" s="674"/>
      <c r="D19" s="674"/>
      <c r="E19" s="674"/>
      <c r="F19" s="674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719" t="s">
        <v>404</v>
      </c>
      <c r="C20" s="76"/>
      <c r="D20" s="76"/>
      <c r="E20" s="76"/>
      <c r="F20" s="635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635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635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406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13" t="s">
        <v>8</v>
      </c>
      <c r="D24" s="13" t="s">
        <v>9</v>
      </c>
      <c r="E24" s="14" t="s">
        <v>10</v>
      </c>
      <c r="F24" s="208"/>
      <c r="G24" s="209" t="s">
        <v>363</v>
      </c>
      <c r="H24" s="209" t="s">
        <v>364</v>
      </c>
      <c r="I24" s="210" t="s">
        <v>405</v>
      </c>
      <c r="J24" s="210" t="s">
        <v>365</v>
      </c>
      <c r="K24" s="210" t="s">
        <v>366</v>
      </c>
      <c r="L24" s="211"/>
      <c r="M24" s="209" t="s">
        <v>16</v>
      </c>
      <c r="N24" s="209" t="s">
        <v>367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217">
        <f t="shared" ref="G25:G35" si="0">H25/720</f>
        <v>0.38750000000000001</v>
      </c>
      <c r="H25" s="218">
        <f>C25*IAAS_vcpu_SEK+D25*IAAS_ram_SEK+E25*IAAS_ssd_SEK</f>
        <v>279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1">J25*C25*SW_win.ser.201X_SEK+K25*C25*SW_ms.sql.ser_SEK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223">
        <f t="shared" si="0"/>
        <v>0.46388888888888891</v>
      </c>
      <c r="H26" s="224">
        <f t="shared" ref="H26:H35" si="2">C26*IAAS_vcpu_SEK+D26*IAAS_ram_SEK+E26*IAAS_ssd_SEK</f>
        <v>334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1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217">
        <f t="shared" si="0"/>
        <v>0.72777777777777775</v>
      </c>
      <c r="H27" s="218">
        <f t="shared" si="2"/>
        <v>524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1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223">
        <f t="shared" si="0"/>
        <v>1.2555555555555555</v>
      </c>
      <c r="H28" s="224">
        <f t="shared" si="2"/>
        <v>904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1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217">
        <f t="shared" si="0"/>
        <v>2.3111111111111109</v>
      </c>
      <c r="H29" s="218">
        <f t="shared" si="2"/>
        <v>1664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1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223">
        <f t="shared" si="0"/>
        <v>4.4222222222222225</v>
      </c>
      <c r="H30" s="224">
        <f t="shared" si="2"/>
        <v>3184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1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217">
        <f t="shared" si="0"/>
        <v>0.6166666666666667</v>
      </c>
      <c r="H31" s="218">
        <f t="shared" si="2"/>
        <v>444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1"/>
        <v>0</v>
      </c>
      <c r="P31" s="221"/>
      <c r="Q31" s="576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223">
        <f t="shared" si="0"/>
        <v>1.0333333333333334</v>
      </c>
      <c r="H32" s="224">
        <f t="shared" si="2"/>
        <v>744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1"/>
        <v>0</v>
      </c>
      <c r="P32" s="221"/>
      <c r="Q32" s="576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217">
        <f t="shared" si="0"/>
        <v>1.8666666666666667</v>
      </c>
      <c r="H33" s="218">
        <f t="shared" si="2"/>
        <v>1344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1"/>
        <v>0</v>
      </c>
      <c r="P33" s="221"/>
      <c r="Q33" s="576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223">
        <f t="shared" si="0"/>
        <v>3.5333333333333332</v>
      </c>
      <c r="H34" s="224">
        <f t="shared" si="2"/>
        <v>2544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1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217">
        <f t="shared" si="0"/>
        <v>6.8666666666666663</v>
      </c>
      <c r="H35" s="218">
        <f t="shared" si="2"/>
        <v>4944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89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651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13" t="s">
        <v>8</v>
      </c>
      <c r="D40" s="13" t="s">
        <v>9</v>
      </c>
      <c r="E40" s="14" t="s">
        <v>10</v>
      </c>
      <c r="F40" s="208"/>
      <c r="G40" s="209" t="s">
        <v>363</v>
      </c>
      <c r="H40" s="209" t="s">
        <v>364</v>
      </c>
      <c r="I40" s="210" t="s">
        <v>405</v>
      </c>
      <c r="J40" s="210" t="s">
        <v>365</v>
      </c>
      <c r="K40" s="210" t="s">
        <v>366</v>
      </c>
      <c r="L40" s="211"/>
      <c r="M40" s="209" t="s">
        <v>16</v>
      </c>
      <c r="N40" s="209" t="s">
        <v>367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249">
        <f t="shared" ref="G41:G59" si="4">H41/720</f>
        <v>0.2986111111111111</v>
      </c>
      <c r="H41" s="250">
        <f t="shared" ref="H41:H59" si="5">C41*IAAS_vcpu_SEK+D41*IAAS_ram_SEK+E41*IAAS_nvme_SEK</f>
        <v>215</v>
      </c>
      <c r="I41" s="219"/>
      <c r="J41" s="219"/>
      <c r="K41" s="219"/>
      <c r="L41" s="251" t="s">
        <v>18</v>
      </c>
      <c r="M41" s="220">
        <f t="shared" ref="M41:M59" si="6">ROUNDUP(I41*H41,2)</f>
        <v>0</v>
      </c>
      <c r="N41" s="220">
        <f t="shared" ref="N41:N59" si="7">J41*C41*SW_win.ser.201X_SEK+K41*C41*SW_ms.sql.ser_SEK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245">
        <f t="shared" si="4"/>
        <v>1.4027777777777777</v>
      </c>
      <c r="H42" s="246">
        <f t="shared" si="5"/>
        <v>1010</v>
      </c>
      <c r="I42" s="219"/>
      <c r="J42" s="219"/>
      <c r="K42" s="219"/>
      <c r="L42" s="253" t="s">
        <v>18</v>
      </c>
      <c r="M42" s="225">
        <f t="shared" si="6"/>
        <v>0</v>
      </c>
      <c r="N42" s="225">
        <f t="shared" si="7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249">
        <f t="shared" si="4"/>
        <v>2.4583333333333335</v>
      </c>
      <c r="H43" s="250">
        <f t="shared" si="5"/>
        <v>1770</v>
      </c>
      <c r="I43" s="219"/>
      <c r="J43" s="219"/>
      <c r="K43" s="219"/>
      <c r="L43" s="251" t="s">
        <v>18</v>
      </c>
      <c r="M43" s="220">
        <f t="shared" si="6"/>
        <v>0</v>
      </c>
      <c r="N43" s="220">
        <f t="shared" si="7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245">
        <f t="shared" si="4"/>
        <v>4.5694444444444446</v>
      </c>
      <c r="H44" s="246">
        <f t="shared" si="5"/>
        <v>3290</v>
      </c>
      <c r="I44" s="219"/>
      <c r="J44" s="219"/>
      <c r="K44" s="219"/>
      <c r="L44" s="253" t="s">
        <v>18</v>
      </c>
      <c r="M44" s="225">
        <f t="shared" si="6"/>
        <v>0</v>
      </c>
      <c r="N44" s="225">
        <f t="shared" si="7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249">
        <f t="shared" si="4"/>
        <v>4.916666666666667</v>
      </c>
      <c r="H45" s="250">
        <f t="shared" si="5"/>
        <v>3540</v>
      </c>
      <c r="I45" s="219"/>
      <c r="J45" s="219"/>
      <c r="K45" s="219"/>
      <c r="L45" s="251" t="s">
        <v>18</v>
      </c>
      <c r="M45" s="220">
        <f t="shared" si="6"/>
        <v>0</v>
      </c>
      <c r="N45" s="220">
        <f t="shared" si="7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245">
        <f t="shared" si="4"/>
        <v>5.6111111111111107</v>
      </c>
      <c r="H46" s="246">
        <f t="shared" si="5"/>
        <v>4040</v>
      </c>
      <c r="I46" s="219"/>
      <c r="J46" s="219"/>
      <c r="K46" s="219"/>
      <c r="L46" s="253" t="s">
        <v>18</v>
      </c>
      <c r="M46" s="225">
        <f t="shared" si="6"/>
        <v>0</v>
      </c>
      <c r="N46" s="225">
        <f t="shared" si="7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249">
        <f t="shared" si="4"/>
        <v>8.7916666666666661</v>
      </c>
      <c r="H47" s="250">
        <f t="shared" si="5"/>
        <v>6330</v>
      </c>
      <c r="I47" s="219"/>
      <c r="J47" s="219"/>
      <c r="K47" s="219"/>
      <c r="L47" s="251" t="s">
        <v>18</v>
      </c>
      <c r="M47" s="220">
        <f t="shared" si="6"/>
        <v>0</v>
      </c>
      <c r="N47" s="220">
        <f t="shared" si="7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245">
        <f t="shared" si="4"/>
        <v>9.1388888888888893</v>
      </c>
      <c r="H48" s="246">
        <f t="shared" si="5"/>
        <v>6580</v>
      </c>
      <c r="I48" s="219"/>
      <c r="J48" s="219"/>
      <c r="K48" s="219"/>
      <c r="L48" s="253" t="s">
        <v>18</v>
      </c>
      <c r="M48" s="225">
        <f t="shared" si="6"/>
        <v>0</v>
      </c>
      <c r="N48" s="225">
        <f t="shared" si="7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249">
        <f t="shared" si="4"/>
        <v>9.8333333333333339</v>
      </c>
      <c r="H49" s="250">
        <f t="shared" si="5"/>
        <v>7080</v>
      </c>
      <c r="I49" s="219"/>
      <c r="J49" s="219"/>
      <c r="K49" s="219"/>
      <c r="L49" s="251" t="s">
        <v>18</v>
      </c>
      <c r="M49" s="220">
        <f t="shared" si="6"/>
        <v>0</v>
      </c>
      <c r="N49" s="220">
        <f t="shared" si="7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245">
        <f t="shared" si="4"/>
        <v>2.0138888888888888</v>
      </c>
      <c r="H50" s="246">
        <f t="shared" si="5"/>
        <v>1450</v>
      </c>
      <c r="I50" s="219"/>
      <c r="J50" s="219"/>
      <c r="K50" s="219"/>
      <c r="L50" s="253" t="s">
        <v>18</v>
      </c>
      <c r="M50" s="225">
        <f t="shared" si="6"/>
        <v>0</v>
      </c>
      <c r="N50" s="225">
        <f t="shared" si="7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249">
        <f t="shared" si="4"/>
        <v>3.6805555555555554</v>
      </c>
      <c r="H51" s="250">
        <f t="shared" si="5"/>
        <v>2650</v>
      </c>
      <c r="I51" s="219"/>
      <c r="J51" s="219"/>
      <c r="K51" s="219"/>
      <c r="L51" s="251" t="s">
        <v>18</v>
      </c>
      <c r="M51" s="220">
        <f t="shared" si="6"/>
        <v>0</v>
      </c>
      <c r="N51" s="220">
        <f t="shared" si="7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245">
        <f t="shared" si="4"/>
        <v>4.0277777777777777</v>
      </c>
      <c r="H52" s="246">
        <f t="shared" si="5"/>
        <v>2900</v>
      </c>
      <c r="I52" s="219"/>
      <c r="J52" s="219"/>
      <c r="K52" s="219"/>
      <c r="L52" s="253" t="s">
        <v>18</v>
      </c>
      <c r="M52" s="225">
        <f t="shared" si="6"/>
        <v>0</v>
      </c>
      <c r="N52" s="225">
        <f t="shared" si="7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249">
        <f t="shared" si="4"/>
        <v>4.7222222222222223</v>
      </c>
      <c r="H53" s="250">
        <f t="shared" si="5"/>
        <v>3400</v>
      </c>
      <c r="I53" s="219"/>
      <c r="J53" s="219"/>
      <c r="K53" s="219"/>
      <c r="L53" s="251" t="s">
        <v>18</v>
      </c>
      <c r="M53" s="220">
        <f t="shared" si="6"/>
        <v>0</v>
      </c>
      <c r="N53" s="220">
        <f t="shared" si="7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245">
        <f t="shared" si="4"/>
        <v>7.0138888888888893</v>
      </c>
      <c r="H54" s="246">
        <f t="shared" si="5"/>
        <v>5050</v>
      </c>
      <c r="I54" s="219"/>
      <c r="J54" s="219"/>
      <c r="K54" s="219"/>
      <c r="L54" s="253" t="s">
        <v>18</v>
      </c>
      <c r="M54" s="225">
        <f t="shared" si="6"/>
        <v>0</v>
      </c>
      <c r="N54" s="225">
        <f t="shared" si="7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249">
        <f t="shared" si="4"/>
        <v>7.3611111111111107</v>
      </c>
      <c r="H55" s="250">
        <f t="shared" si="5"/>
        <v>5300</v>
      </c>
      <c r="I55" s="219"/>
      <c r="J55" s="219"/>
      <c r="K55" s="219"/>
      <c r="L55" s="251" t="s">
        <v>18</v>
      </c>
      <c r="M55" s="220">
        <f t="shared" si="6"/>
        <v>0</v>
      </c>
      <c r="N55" s="220">
        <f t="shared" si="7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245">
        <f t="shared" si="4"/>
        <v>8.0555555555555554</v>
      </c>
      <c r="H56" s="246">
        <f t="shared" si="5"/>
        <v>5800</v>
      </c>
      <c r="I56" s="219"/>
      <c r="J56" s="219"/>
      <c r="K56" s="219"/>
      <c r="L56" s="253" t="s">
        <v>18</v>
      </c>
      <c r="M56" s="225">
        <f t="shared" si="6"/>
        <v>0</v>
      </c>
      <c r="N56" s="225">
        <f t="shared" si="7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249">
        <f t="shared" si="4"/>
        <v>13.680555555555555</v>
      </c>
      <c r="H57" s="250">
        <f t="shared" si="5"/>
        <v>9850</v>
      </c>
      <c r="I57" s="219"/>
      <c r="J57" s="219"/>
      <c r="K57" s="219"/>
      <c r="L57" s="251" t="s">
        <v>18</v>
      </c>
      <c r="M57" s="220">
        <f t="shared" si="6"/>
        <v>0</v>
      </c>
      <c r="N57" s="220">
        <f t="shared" si="7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245">
        <f t="shared" si="4"/>
        <v>14.027777777777779</v>
      </c>
      <c r="H58" s="246">
        <f t="shared" si="5"/>
        <v>10100</v>
      </c>
      <c r="I58" s="219"/>
      <c r="J58" s="219"/>
      <c r="K58" s="219"/>
      <c r="L58" s="253" t="s">
        <v>18</v>
      </c>
      <c r="M58" s="225">
        <f t="shared" si="6"/>
        <v>0</v>
      </c>
      <c r="N58" s="225">
        <f t="shared" si="7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249">
        <f t="shared" si="4"/>
        <v>14.722222222222221</v>
      </c>
      <c r="H59" s="250">
        <f t="shared" si="5"/>
        <v>10600</v>
      </c>
      <c r="I59" s="219"/>
      <c r="J59" s="219"/>
      <c r="K59" s="219"/>
      <c r="L59" s="251" t="s">
        <v>18</v>
      </c>
      <c r="M59" s="220">
        <f t="shared" si="6"/>
        <v>0</v>
      </c>
      <c r="N59" s="220">
        <f t="shared" si="7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89"/>
      <c r="D60" s="89"/>
      <c r="E60" s="89"/>
      <c r="F60" s="227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651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368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13" t="s">
        <v>70</v>
      </c>
      <c r="D64" s="13" t="s">
        <v>9</v>
      </c>
      <c r="E64" s="103" t="s">
        <v>109</v>
      </c>
      <c r="F64" s="208" t="s">
        <v>69</v>
      </c>
      <c r="G64" s="209" t="s">
        <v>363</v>
      </c>
      <c r="H64" s="209" t="s">
        <v>364</v>
      </c>
      <c r="I64" s="210" t="s">
        <v>405</v>
      </c>
      <c r="J64" s="210" t="s">
        <v>365</v>
      </c>
      <c r="K64" s="210" t="s">
        <v>366</v>
      </c>
      <c r="L64" s="211"/>
      <c r="M64" s="209" t="s">
        <v>16</v>
      </c>
      <c r="N64" s="209" t="s">
        <v>367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95">
        <f t="shared" ref="G65:G68" si="8">H65/720</f>
        <v>9.6527777777777786</v>
      </c>
      <c r="H65" s="493">
        <f>C65*IAAS_vcpu_SEK+D65*IAAS_ram_SEK+E65*IAAS_nvme_SEK+F65*IAAS_gpu_SEK</f>
        <v>6950</v>
      </c>
      <c r="I65" s="219"/>
      <c r="J65" s="219"/>
      <c r="K65" s="219"/>
      <c r="L65" s="251" t="str">
        <f>L57</f>
        <v>Instanser</v>
      </c>
      <c r="M65" s="220">
        <f t="shared" ref="M65:M68" si="9">ROUNDUP(I65*H65,2)</f>
        <v>0</v>
      </c>
      <c r="N65" s="220">
        <f>J65*C65*SW_win.ser.201X_SEK+K65*C65*SW_ms.sql.ser_SEK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94">
        <f t="shared" si="8"/>
        <v>19.305555555555557</v>
      </c>
      <c r="H66" s="492">
        <f>C66*IAAS_vcpu_SEK+D66*IAAS_ram_SEK+E66*IAAS_nvme_SEK+F66*IAAS_gpu_SEK</f>
        <v>13900</v>
      </c>
      <c r="I66" s="219"/>
      <c r="J66" s="219"/>
      <c r="K66" s="219"/>
      <c r="L66" s="247" t="s">
        <v>18</v>
      </c>
      <c r="M66" s="225">
        <f t="shared" si="9"/>
        <v>0</v>
      </c>
      <c r="N66" s="225">
        <f>J66*C66*SW_win.ser.201X_SEK+K66*C66*SW_ms.sql.ser_SEK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95">
        <f t="shared" si="8"/>
        <v>38.611111111111114</v>
      </c>
      <c r="H67" s="493">
        <f>C67*IAAS_vcpu_SEK+D67*IAAS_ram_SEK+E67*IAAS_nvme_SEK+F67*IAAS_gpu_SEK</f>
        <v>27800</v>
      </c>
      <c r="I67" s="219"/>
      <c r="J67" s="219"/>
      <c r="K67" s="219"/>
      <c r="L67" s="251" t="str">
        <f>L59</f>
        <v>Instanser</v>
      </c>
      <c r="M67" s="220">
        <f t="shared" si="9"/>
        <v>0</v>
      </c>
      <c r="N67" s="220">
        <f>J67*C67*SW_win.ser.201X_SEK+K67*C67*SW_ms.sql.ser_SEK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94">
        <f t="shared" si="8"/>
        <v>60.555555555555557</v>
      </c>
      <c r="H68" s="492">
        <f>C68*IAAS_vcpu_SEK+D68*IAAS_ram_SEK+E68*IAAS_nvme_SEK+F68*IAAS_gpu_SEK</f>
        <v>43600</v>
      </c>
      <c r="I68" s="219"/>
      <c r="J68" s="219"/>
      <c r="K68" s="219"/>
      <c r="L68" s="247" t="s">
        <v>18</v>
      </c>
      <c r="M68" s="225">
        <f t="shared" si="9"/>
        <v>0</v>
      </c>
      <c r="N68" s="225">
        <f>J68*C68*SW_win.ser.201X_SEK+K68*C68*SW_ms.sql.ser_SEK</f>
        <v>0</v>
      </c>
      <c r="P68" s="221"/>
      <c r="U68" s="202"/>
      <c r="W68" s="202"/>
    </row>
    <row r="69" spans="2:24" s="270" customFormat="1" ht="25.5" customHeight="1">
      <c r="B69" s="516" t="s">
        <v>20</v>
      </c>
      <c r="C69" s="89"/>
      <c r="D69" s="89"/>
      <c r="E69" s="89"/>
      <c r="F69" s="227"/>
      <c r="G69" s="228"/>
      <c r="H69" s="229"/>
      <c r="I69" s="163" t="str">
        <f>SUM(I65:I68)&amp;" st"</f>
        <v>0 st</v>
      </c>
      <c r="J69" s="163" t="str">
        <f>SUM(J65:J68)&amp;" st"</f>
        <v>0 st</v>
      </c>
      <c r="K69" s="163" t="str">
        <f>SUM(K65:K68)&amp;" st"</f>
        <v>0 st</v>
      </c>
      <c r="L69" s="164"/>
      <c r="M69" s="651">
        <f>SUM(M65:M68)</f>
        <v>0</v>
      </c>
      <c r="N69" s="91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407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52">
      <c r="B73" s="513" t="s">
        <v>79</v>
      </c>
      <c r="C73" s="13" t="s">
        <v>70</v>
      </c>
      <c r="D73" s="13" t="s">
        <v>9</v>
      </c>
      <c r="E73" s="14" t="s">
        <v>109</v>
      </c>
      <c r="F73" s="275"/>
      <c r="G73" s="209" t="s">
        <v>363</v>
      </c>
      <c r="H73" s="209" t="s">
        <v>364</v>
      </c>
      <c r="I73" s="210" t="s">
        <v>405</v>
      </c>
      <c r="J73" s="210" t="s">
        <v>365</v>
      </c>
      <c r="K73" s="210" t="s">
        <v>366</v>
      </c>
      <c r="L73" s="211"/>
      <c r="M73" s="209" t="s">
        <v>16</v>
      </c>
      <c r="N73" s="209" t="s">
        <v>367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249">
        <f t="shared" ref="G74:G76" si="10">H74/720</f>
        <v>9.5</v>
      </c>
      <c r="H74" s="250">
        <f>INSTANCE_p1.2xlarge.16d_SEK</f>
        <v>6840</v>
      </c>
      <c r="I74" s="219"/>
      <c r="J74" s="219"/>
      <c r="K74" s="219"/>
      <c r="L74" s="216" t="s">
        <v>18</v>
      </c>
      <c r="M74" s="220">
        <f t="shared" ref="M74:M76" si="11">ROUNDUP(I74*H74,2)</f>
        <v>0</v>
      </c>
      <c r="N74" s="220">
        <f>J74*C74*SW_win.ser.201X_SEK+K74*C74*SW_ms.sql.ser_SEK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245">
        <f t="shared" si="10"/>
        <v>19</v>
      </c>
      <c r="H75" s="246">
        <f>INSTANCE_p1.4xlarge.16d_SEK</f>
        <v>13680</v>
      </c>
      <c r="I75" s="219"/>
      <c r="J75" s="219"/>
      <c r="K75" s="219"/>
      <c r="L75" s="222" t="str">
        <f t="shared" ref="L75" si="12">L74</f>
        <v>Instanser</v>
      </c>
      <c r="M75" s="225">
        <f t="shared" si="11"/>
        <v>0</v>
      </c>
      <c r="N75" s="225">
        <f>J75*C75*SW_win.ser.201X_SEK+K75*C75*SW_ms.sql.ser_SEK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280">
        <f t="shared" si="10"/>
        <v>38</v>
      </c>
      <c r="H76" s="281">
        <f>INSTANCE_p1.8xlarge.32d_SEK</f>
        <v>27360</v>
      </c>
      <c r="I76" s="219"/>
      <c r="J76" s="219"/>
      <c r="K76" s="219"/>
      <c r="L76" s="216" t="s">
        <v>18</v>
      </c>
      <c r="M76" s="220">
        <f t="shared" si="11"/>
        <v>0</v>
      </c>
      <c r="N76" s="220">
        <f>J76*C76*SW_win.ser.201X_SEK+K76*C76*SW_ms.sql.ser_SEK</f>
        <v>0</v>
      </c>
      <c r="O76" s="282"/>
      <c r="P76" s="283"/>
    </row>
    <row r="77" spans="2:24" ht="25.5" customHeight="1">
      <c r="B77" s="517" t="s">
        <v>20</v>
      </c>
      <c r="C77" s="21"/>
      <c r="D77" s="21"/>
      <c r="E77" s="21"/>
      <c r="F77" s="267"/>
      <c r="G77" s="267"/>
      <c r="H77" s="267"/>
      <c r="I77" s="163" t="str">
        <f>SUM(I74:I76)&amp;" st"</f>
        <v>0 st</v>
      </c>
      <c r="J77" s="163" t="str">
        <f>SUM(J74:J76)&amp;" st"</f>
        <v>0 st</v>
      </c>
      <c r="K77" s="163" t="str">
        <f>SUM(K74:K76)&amp;" st"</f>
        <v>0 st</v>
      </c>
      <c r="L77" s="164"/>
      <c r="M77" s="651">
        <f>SUM(M74:M76)</f>
        <v>0</v>
      </c>
      <c r="N77" s="91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402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79</v>
      </c>
      <c r="C81" s="26" t="s">
        <v>375</v>
      </c>
      <c r="D81" s="26"/>
      <c r="E81" s="140" t="s">
        <v>363</v>
      </c>
      <c r="F81" s="657" t="s">
        <v>369</v>
      </c>
      <c r="G81" s="657"/>
      <c r="H81" s="658"/>
      <c r="I81" s="658"/>
      <c r="J81" s="288" t="s">
        <v>370</v>
      </c>
      <c r="K81" s="286"/>
      <c r="L81" s="286"/>
      <c r="M81" s="286"/>
      <c r="N81" s="642" t="s">
        <v>36</v>
      </c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82">
        <f>F82/720</f>
        <v>1.6666666666666666E-3</v>
      </c>
      <c r="F82" s="708">
        <f>VOLUME_large_SEK</f>
        <v>1.2</v>
      </c>
      <c r="G82" s="708"/>
      <c r="H82" s="653"/>
      <c r="I82" s="653"/>
      <c r="J82" s="294"/>
      <c r="K82" s="550" t="s">
        <v>26</v>
      </c>
      <c r="L82" s="295"/>
      <c r="M82" s="296"/>
      <c r="N82" s="297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83">
        <f>F83/720</f>
        <v>5.0000000000000001E-3</v>
      </c>
      <c r="F83" s="709">
        <f>VOLUME_fast_SEK</f>
        <v>3.6</v>
      </c>
      <c r="G83" s="709"/>
      <c r="H83" s="662"/>
      <c r="I83" s="662"/>
      <c r="J83" s="298"/>
      <c r="K83" s="551" t="s">
        <v>26</v>
      </c>
      <c r="L83" s="299"/>
      <c r="M83" s="300"/>
      <c r="N83" s="301">
        <f>ROUNDUP(J83*F83,2)</f>
        <v>0</v>
      </c>
      <c r="O83" s="203"/>
      <c r="P83" s="221"/>
      <c r="Y83" s="202"/>
    </row>
    <row r="84" spans="2:25" ht="25.5" customHeight="1">
      <c r="B84" s="516" t="s">
        <v>303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91">
        <f>SUM(N82:N83)</f>
        <v>0</v>
      </c>
      <c r="O84" s="204"/>
      <c r="P84" s="207"/>
    </row>
    <row r="85" spans="2:25" ht="25.5" customHeight="1">
      <c r="B85" s="77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55" t="s">
        <v>27</v>
      </c>
      <c r="C88" s="655"/>
      <c r="D88" s="655"/>
      <c r="E88" s="655"/>
      <c r="F88" s="655"/>
      <c r="G88" s="655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55"/>
      <c r="C89" s="655"/>
      <c r="D89" s="655"/>
      <c r="E89" s="655"/>
      <c r="F89" s="655"/>
      <c r="G89" s="655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55"/>
      <c r="C90" s="655"/>
      <c r="D90" s="655"/>
      <c r="E90" s="655"/>
      <c r="F90" s="655"/>
      <c r="G90" s="655"/>
      <c r="H90" s="189"/>
      <c r="J90" s="190"/>
      <c r="K90" s="190"/>
      <c r="M90" s="191"/>
      <c r="N90" s="191"/>
      <c r="P90" s="192"/>
    </row>
    <row r="91" spans="2:25" s="188" customFormat="1" ht="25.5" customHeight="1">
      <c r="B91" s="721" t="s">
        <v>371</v>
      </c>
      <c r="C91" s="721"/>
      <c r="D91" s="721"/>
      <c r="E91" s="721"/>
      <c r="F91" s="721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64" t="s">
        <v>372</v>
      </c>
      <c r="C92" s="664"/>
      <c r="D92" s="664"/>
      <c r="E92" s="664"/>
      <c r="F92" s="664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720" t="s">
        <v>373</v>
      </c>
      <c r="C93" s="76"/>
      <c r="D93" s="76"/>
      <c r="E93" s="76"/>
      <c r="F93" s="635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635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79</v>
      </c>
      <c r="C95" s="12" t="s">
        <v>408</v>
      </c>
      <c r="D95" s="657" t="s">
        <v>374</v>
      </c>
      <c r="E95" s="657"/>
      <c r="F95" s="657"/>
      <c r="G95" s="657"/>
      <c r="H95" s="657"/>
      <c r="I95" s="657"/>
      <c r="J95" s="657"/>
      <c r="K95" s="657"/>
      <c r="L95" s="642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60">
        <f>S3_storage.50_SEK</f>
        <v>350</v>
      </c>
      <c r="E96" s="660"/>
      <c r="F96" s="660"/>
      <c r="G96" s="660"/>
      <c r="H96" s="660"/>
      <c r="I96" s="660"/>
      <c r="J96" s="660"/>
      <c r="K96" s="660"/>
      <c r="L96" s="644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68">
        <f>S3_storage.100_SEK</f>
        <v>270</v>
      </c>
      <c r="E97" s="668"/>
      <c r="F97" s="668"/>
      <c r="G97" s="668"/>
      <c r="H97" s="668"/>
      <c r="I97" s="668"/>
      <c r="J97" s="668"/>
      <c r="K97" s="668"/>
      <c r="L97" s="639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66">
        <f>S3_storage.500_SEK</f>
        <v>200</v>
      </c>
      <c r="E98" s="666"/>
      <c r="F98" s="666"/>
      <c r="G98" s="666"/>
      <c r="H98" s="666"/>
      <c r="I98" s="666"/>
      <c r="J98" s="666"/>
      <c r="K98" s="666"/>
      <c r="L98" s="643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68">
        <f>S3_storage.1000_SEK</f>
        <v>185</v>
      </c>
      <c r="E99" s="668"/>
      <c r="F99" s="668"/>
      <c r="G99" s="668"/>
      <c r="H99" s="668"/>
      <c r="I99" s="668"/>
      <c r="J99" s="668"/>
      <c r="K99" s="668"/>
      <c r="L99" s="639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69" t="str">
        <f>S3_storage.quote_SEK</f>
        <v>Be om offert</v>
      </c>
      <c r="E100" s="669"/>
      <c r="F100" s="669"/>
      <c r="G100" s="669"/>
      <c r="H100" s="669"/>
      <c r="I100" s="669"/>
      <c r="J100" s="669"/>
      <c r="K100" s="669"/>
      <c r="L100" s="641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635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79</v>
      </c>
      <c r="C103" s="26"/>
      <c r="D103" s="26"/>
      <c r="E103" s="139" t="s">
        <v>363</v>
      </c>
      <c r="F103" s="657" t="s">
        <v>374</v>
      </c>
      <c r="G103" s="657"/>
      <c r="H103" s="288" t="s">
        <v>408</v>
      </c>
      <c r="I103" s="286"/>
      <c r="J103" s="286"/>
      <c r="K103" s="286"/>
      <c r="L103" s="286"/>
      <c r="M103" s="286"/>
      <c r="N103" s="642" t="s">
        <v>36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27" cm="1">
        <f t="array" ref="E104">_xlfn.IFS(H104&lt;1001,F104/720,H104&gt;1000,D100)</f>
        <v>0.4861111111111111</v>
      </c>
      <c r="F104" s="705" cm="1">
        <f t="array" ref="F104">_xlfn.IFS(H104&lt;51,D96,H104&lt;101,D97,H104&lt;501,D98,H104&lt;1001,D99,H104&gt;1000,D100)</f>
        <v>350</v>
      </c>
      <c r="G104" s="706"/>
      <c r="H104" s="326"/>
      <c r="I104" s="552" t="s">
        <v>73</v>
      </c>
      <c r="J104" s="328"/>
      <c r="K104" s="328"/>
      <c r="L104" s="328"/>
      <c r="M104" s="329"/>
      <c r="N104" s="505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91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55" t="s">
        <v>32</v>
      </c>
      <c r="C109" s="655"/>
      <c r="D109" s="655"/>
      <c r="E109" s="655"/>
      <c r="F109" s="655"/>
      <c r="G109" s="655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55"/>
      <c r="C110" s="655"/>
      <c r="D110" s="655"/>
      <c r="E110" s="655"/>
      <c r="F110" s="655"/>
      <c r="G110" s="655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55"/>
      <c r="C111" s="655"/>
      <c r="D111" s="655"/>
      <c r="E111" s="655"/>
      <c r="F111" s="655"/>
      <c r="G111" s="655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721" t="s">
        <v>376</v>
      </c>
      <c r="C112" s="721"/>
      <c r="D112" s="721"/>
      <c r="E112" s="721"/>
      <c r="F112" s="721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64" t="s">
        <v>377</v>
      </c>
      <c r="C113" s="664"/>
      <c r="D113" s="664"/>
      <c r="E113" s="664"/>
      <c r="F113" s="664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720" t="s">
        <v>373</v>
      </c>
      <c r="C114" s="76"/>
      <c r="D114" s="76"/>
      <c r="E114" s="76"/>
      <c r="F114" s="635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79</v>
      </c>
      <c r="C116" s="657" t="s">
        <v>378</v>
      </c>
      <c r="D116" s="657"/>
      <c r="E116" s="139" t="s">
        <v>363</v>
      </c>
      <c r="F116" s="657" t="s">
        <v>369</v>
      </c>
      <c r="G116" s="657"/>
      <c r="H116" s="288" t="s">
        <v>30</v>
      </c>
      <c r="I116" s="286"/>
      <c r="J116" s="658" t="s">
        <v>409</v>
      </c>
      <c r="K116" s="658"/>
      <c r="L116" s="640"/>
      <c r="M116" s="286"/>
      <c r="N116" s="642" t="s">
        <v>36</v>
      </c>
      <c r="O116" s="273"/>
      <c r="P116" s="207"/>
    </row>
    <row r="117" spans="1:35" ht="25.5" customHeight="1">
      <c r="A117" s="337"/>
      <c r="B117" s="636" t="s">
        <v>106</v>
      </c>
      <c r="C117" s="556"/>
      <c r="D117" s="31" t="s">
        <v>25</v>
      </c>
      <c r="E117" s="31" t="s">
        <v>25</v>
      </c>
      <c r="F117" s="698">
        <f>BAAS_on.demand_SEK</f>
        <v>2.4500000000000002</v>
      </c>
      <c r="G117" s="699"/>
      <c r="H117" s="338"/>
      <c r="I117" s="550" t="s">
        <v>26</v>
      </c>
      <c r="J117" s="678" t="s">
        <v>25</v>
      </c>
      <c r="K117" s="678"/>
      <c r="L117" s="339"/>
      <c r="M117" s="295"/>
      <c r="N117" s="297">
        <f>ROUNDUP(H117*F117,2)</f>
        <v>0</v>
      </c>
      <c r="O117" s="273"/>
      <c r="P117" s="207"/>
    </row>
    <row r="118" spans="1:35" ht="25.5" customHeight="1">
      <c r="A118" s="337"/>
      <c r="B118" s="637" t="s">
        <v>107</v>
      </c>
      <c r="C118" s="558"/>
      <c r="D118" s="33">
        <v>5500</v>
      </c>
      <c r="E118" s="34" t="s">
        <v>25</v>
      </c>
      <c r="F118" s="701">
        <f>BAAS_small_SEK</f>
        <v>1.75</v>
      </c>
      <c r="G118" s="702"/>
      <c r="H118" s="340"/>
      <c r="I118" s="551" t="s">
        <v>26</v>
      </c>
      <c r="J118" s="682">
        <v>0.75</v>
      </c>
      <c r="K118" s="683"/>
      <c r="L118" s="299"/>
      <c r="M118" s="299"/>
      <c r="N118" s="301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638" t="s">
        <v>108</v>
      </c>
      <c r="C119" s="557"/>
      <c r="D119" s="35">
        <v>9500</v>
      </c>
      <c r="E119" s="37" t="s">
        <v>25</v>
      </c>
      <c r="F119" s="703">
        <f>BAAS_large_SEK</f>
        <v>0.92</v>
      </c>
      <c r="G119" s="704"/>
      <c r="H119" s="326"/>
      <c r="I119" s="552" t="s">
        <v>26</v>
      </c>
      <c r="J119" s="687">
        <v>0.75</v>
      </c>
      <c r="K119" s="688"/>
      <c r="L119" s="327"/>
      <c r="M119" s="327"/>
      <c r="N119" s="330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91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379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380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381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382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2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2" s="188" customFormat="1" ht="25.5" customHeight="1">
      <c r="B130" s="655" t="s">
        <v>383</v>
      </c>
      <c r="C130" s="655"/>
      <c r="D130" s="655"/>
      <c r="E130" s="655"/>
      <c r="F130" s="655"/>
      <c r="G130" s="655"/>
      <c r="H130" s="189"/>
      <c r="J130" s="190"/>
      <c r="K130" s="190"/>
      <c r="M130" s="191"/>
      <c r="N130" s="308"/>
      <c r="O130" s="203"/>
      <c r="P130" s="221"/>
    </row>
    <row r="131" spans="2:22" s="188" customFormat="1" ht="25.5" customHeight="1">
      <c r="B131" s="655"/>
      <c r="C131" s="655"/>
      <c r="D131" s="655"/>
      <c r="E131" s="655"/>
      <c r="F131" s="655"/>
      <c r="G131" s="655"/>
      <c r="H131" s="189"/>
      <c r="J131" s="190"/>
      <c r="K131" s="190"/>
      <c r="M131" s="191"/>
      <c r="N131" s="308"/>
      <c r="O131" s="203"/>
      <c r="P131" s="221"/>
    </row>
    <row r="132" spans="2:22" s="188" customFormat="1" ht="25.5" customHeight="1">
      <c r="B132" s="655"/>
      <c r="C132" s="655"/>
      <c r="D132" s="655"/>
      <c r="E132" s="655"/>
      <c r="F132" s="655"/>
      <c r="G132" s="655"/>
      <c r="H132" s="189"/>
      <c r="J132" s="190"/>
      <c r="K132" s="190"/>
      <c r="M132" s="191"/>
      <c r="N132" s="308"/>
      <c r="O132" s="203"/>
      <c r="P132" s="221"/>
    </row>
    <row r="133" spans="2:22" s="188" customFormat="1" ht="25.5" customHeight="1">
      <c r="B133" s="664" t="s">
        <v>377</v>
      </c>
      <c r="C133" s="664"/>
      <c r="D133" s="664"/>
      <c r="E133" s="664"/>
      <c r="F133" s="664"/>
      <c r="H133" s="189"/>
      <c r="J133" s="190"/>
      <c r="K133" s="190"/>
      <c r="M133" s="191"/>
      <c r="N133" s="308"/>
      <c r="O133" s="203"/>
      <c r="P133" s="221"/>
    </row>
    <row r="134" spans="2:22" s="188" customFormat="1" ht="25.5" customHeight="1">
      <c r="B134" s="674"/>
      <c r="C134" s="674"/>
      <c r="D134" s="674"/>
      <c r="E134" s="674"/>
      <c r="F134" s="674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2" s="188" customFormat="1" ht="25.5" customHeight="1">
      <c r="B135" s="141"/>
      <c r="C135" s="141"/>
      <c r="D135" s="141"/>
      <c r="E135" s="141"/>
      <c r="F135" s="635"/>
      <c r="G135" s="195"/>
      <c r="H135" s="196"/>
      <c r="I135" s="195"/>
      <c r="J135" s="197"/>
      <c r="K135" s="198"/>
      <c r="L135" s="195"/>
      <c r="M135" s="199"/>
      <c r="N135" s="308"/>
      <c r="O135" s="203"/>
      <c r="P135" s="221"/>
    </row>
    <row r="136" spans="2:22" s="203" customFormat="1" ht="25.5" customHeight="1">
      <c r="B136" s="23" t="s">
        <v>384</v>
      </c>
      <c r="C136" s="141"/>
      <c r="D136" s="141"/>
      <c r="E136" s="141"/>
      <c r="F136" s="635"/>
      <c r="G136" s="195"/>
      <c r="H136" s="195"/>
      <c r="I136" s="195"/>
      <c r="J136" s="197"/>
      <c r="K136" s="198"/>
      <c r="L136" s="195"/>
      <c r="M136" s="199"/>
      <c r="N136" s="308"/>
      <c r="P136" s="221"/>
      <c r="Q136" s="193"/>
      <c r="R136" s="193"/>
      <c r="S136" s="193"/>
      <c r="T136" s="193"/>
      <c r="U136" s="193"/>
      <c r="V136" s="193"/>
    </row>
    <row r="137" spans="2:22" ht="25.5" customHeight="1">
      <c r="B137" s="547" t="s">
        <v>79</v>
      </c>
      <c r="C137" s="25" t="s">
        <v>243</v>
      </c>
      <c r="D137" s="25"/>
      <c r="E137" s="26" t="s">
        <v>375</v>
      </c>
      <c r="F137" s="286"/>
      <c r="G137" s="286"/>
      <c r="H137" s="286"/>
      <c r="I137" s="286"/>
      <c r="J137" s="286"/>
      <c r="K137" s="286"/>
      <c r="L137" s="346" t="s">
        <v>410</v>
      </c>
      <c r="M137" s="642"/>
      <c r="N137" s="642" t="s">
        <v>364</v>
      </c>
      <c r="O137" s="214"/>
      <c r="P137" s="221"/>
      <c r="Q137" s="348"/>
      <c r="R137" s="347"/>
      <c r="S137" s="308"/>
      <c r="T137" s="203"/>
    </row>
    <row r="138" spans="2:22" ht="25.5" customHeight="1">
      <c r="B138" s="142" t="s">
        <v>167</v>
      </c>
      <c r="C138" s="137" t="s">
        <v>125</v>
      </c>
      <c r="D138" s="137"/>
      <c r="E138" s="41" t="s">
        <v>50</v>
      </c>
      <c r="F138" s="349"/>
      <c r="G138" s="349"/>
      <c r="H138" s="349"/>
      <c r="I138" s="349"/>
      <c r="J138" s="349"/>
      <c r="K138" s="349"/>
      <c r="L138" s="351" t="s">
        <v>401</v>
      </c>
      <c r="M138" s="351"/>
      <c r="N138" s="648">
        <f>NET_publicv4_SEK</f>
        <v>20</v>
      </c>
      <c r="O138" s="204"/>
      <c r="P138" s="221"/>
      <c r="Q138" s="205"/>
      <c r="R138" s="169"/>
      <c r="S138" s="308"/>
      <c r="T138" s="203"/>
    </row>
    <row r="139" spans="2:22" ht="25.5" customHeight="1">
      <c r="B139" s="145" t="s">
        <v>168</v>
      </c>
      <c r="C139" s="138" t="s">
        <v>124</v>
      </c>
      <c r="D139" s="138"/>
      <c r="E139" s="43" t="s">
        <v>50</v>
      </c>
      <c r="F139" s="353"/>
      <c r="G139" s="353"/>
      <c r="H139" s="353"/>
      <c r="I139" s="353"/>
      <c r="J139" s="353"/>
      <c r="K139" s="353"/>
      <c r="L139" s="355" t="s">
        <v>25</v>
      </c>
      <c r="M139" s="355"/>
      <c r="N139" s="649">
        <f>NET_publicv6_SEK</f>
        <v>0</v>
      </c>
      <c r="O139" s="204"/>
      <c r="P139" s="221"/>
      <c r="Q139" s="205"/>
      <c r="R139" s="169"/>
      <c r="S139" s="308"/>
      <c r="T139" s="203"/>
    </row>
    <row r="140" spans="2:22" ht="25.5" customHeight="1">
      <c r="B140" s="142" t="s">
        <v>173</v>
      </c>
      <c r="C140" s="137" t="s">
        <v>387</v>
      </c>
      <c r="D140" s="137"/>
      <c r="E140" s="156"/>
      <c r="F140" s="357"/>
      <c r="G140" s="357"/>
      <c r="H140" s="357"/>
      <c r="I140" s="357"/>
      <c r="J140" s="357"/>
      <c r="K140" s="357"/>
      <c r="L140" s="351" t="s">
        <v>26</v>
      </c>
      <c r="M140" s="351"/>
      <c r="N140" s="648">
        <f>NET_ingress_SEK</f>
        <v>0</v>
      </c>
      <c r="O140" s="204"/>
      <c r="P140" s="221"/>
      <c r="Q140" s="205"/>
      <c r="R140" s="169"/>
      <c r="S140" s="308"/>
      <c r="T140" s="203"/>
    </row>
    <row r="141" spans="2:22" ht="25.5" customHeight="1">
      <c r="B141" s="145" t="s">
        <v>174</v>
      </c>
      <c r="C141" s="138" t="s">
        <v>387</v>
      </c>
      <c r="D141" s="138"/>
      <c r="E141" s="43" t="s">
        <v>388</v>
      </c>
      <c r="F141" s="353"/>
      <c r="G141" s="353"/>
      <c r="H141" s="353"/>
      <c r="I141" s="353"/>
      <c r="J141" s="353"/>
      <c r="K141" s="353"/>
      <c r="L141" s="359" t="s">
        <v>26</v>
      </c>
      <c r="M141" s="359"/>
      <c r="N141" s="649">
        <f>NET_egress_SEK</f>
        <v>0.25</v>
      </c>
      <c r="O141" s="204"/>
      <c r="P141" s="221"/>
      <c r="Q141" s="205"/>
      <c r="R141" s="169"/>
      <c r="S141" s="308"/>
      <c r="T141" s="203"/>
    </row>
    <row r="142" spans="2:22" ht="25.5" customHeight="1">
      <c r="B142" s="142" t="s">
        <v>170</v>
      </c>
      <c r="C142" s="137" t="s">
        <v>126</v>
      </c>
      <c r="D142" s="137"/>
      <c r="E142" s="32"/>
      <c r="F142" s="357"/>
      <c r="G142" s="357"/>
      <c r="H142" s="357"/>
      <c r="I142" s="357"/>
      <c r="J142" s="357"/>
      <c r="K142" s="357"/>
      <c r="L142" s="351" t="s">
        <v>266</v>
      </c>
      <c r="M142" s="351"/>
      <c r="N142" s="648">
        <f>NET_mgn.slb_SEK</f>
        <v>300</v>
      </c>
      <c r="O142" s="169"/>
      <c r="P142" s="221"/>
      <c r="Q142" s="169"/>
      <c r="R142" s="360"/>
      <c r="T142" s="337"/>
    </row>
    <row r="143" spans="2:22" ht="25.5" customHeight="1">
      <c r="B143" s="145" t="s">
        <v>172</v>
      </c>
      <c r="C143" s="138" t="s">
        <v>128</v>
      </c>
      <c r="D143" s="138"/>
      <c r="E143" s="43"/>
      <c r="F143" s="353"/>
      <c r="G143" s="353"/>
      <c r="H143" s="353"/>
      <c r="I143" s="353"/>
      <c r="J143" s="353"/>
      <c r="K143" s="353"/>
      <c r="L143" s="355" t="s">
        <v>25</v>
      </c>
      <c r="M143" s="355"/>
      <c r="N143" s="649">
        <f>NET_rdns_SEK</f>
        <v>0</v>
      </c>
      <c r="O143" s="204"/>
      <c r="P143" s="221"/>
      <c r="Q143" s="205"/>
      <c r="R143" s="169"/>
      <c r="S143" s="308"/>
      <c r="T143" s="203"/>
    </row>
    <row r="144" spans="2:22" ht="25.5" customHeight="1">
      <c r="B144" s="142" t="s">
        <v>171</v>
      </c>
      <c r="C144" s="137" t="s">
        <v>127</v>
      </c>
      <c r="D144" s="137"/>
      <c r="E144" s="32"/>
      <c r="F144" s="357"/>
      <c r="G144" s="357"/>
      <c r="H144" s="357"/>
      <c r="I144" s="357"/>
      <c r="J144" s="357"/>
      <c r="K144" s="357"/>
      <c r="L144" s="362" t="s">
        <v>25</v>
      </c>
      <c r="M144" s="362"/>
      <c r="N144" s="648">
        <f>NET_saferoute_SEK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138" t="s">
        <v>122</v>
      </c>
      <c r="D145" s="138"/>
      <c r="E145" s="43"/>
      <c r="F145" s="353"/>
      <c r="G145" s="353"/>
      <c r="H145" s="353"/>
      <c r="I145" s="353"/>
      <c r="J145" s="353"/>
      <c r="K145" s="353"/>
      <c r="L145" s="355" t="s">
        <v>25</v>
      </c>
      <c r="M145" s="355"/>
      <c r="N145" s="649">
        <f>NET_byoip_SEK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149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385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55" t="s">
        <v>79</v>
      </c>
      <c r="C148" s="25" t="s">
        <v>243</v>
      </c>
      <c r="D148" s="111"/>
      <c r="E148" s="111" t="s">
        <v>375</v>
      </c>
      <c r="F148" s="367"/>
      <c r="G148" s="367"/>
      <c r="H148" s="367"/>
      <c r="I148" s="367"/>
      <c r="J148" s="367"/>
      <c r="K148" s="367"/>
      <c r="L148" s="346" t="s">
        <v>410</v>
      </c>
      <c r="M148" s="366"/>
      <c r="N148" s="642" t="s">
        <v>364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49"/>
      <c r="H149" s="349"/>
      <c r="I149" s="349"/>
      <c r="J149" s="349"/>
      <c r="K149" s="349"/>
      <c r="L149" s="351" t="s">
        <v>8</v>
      </c>
      <c r="M149" s="351"/>
      <c r="N149" s="647">
        <f>SW_win.ser.201X_SEK</f>
        <v>78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3"/>
      <c r="H150" s="353"/>
      <c r="I150" s="353"/>
      <c r="J150" s="353"/>
      <c r="K150" s="353"/>
      <c r="L150" s="359" t="s">
        <v>8</v>
      </c>
      <c r="M150" s="359"/>
      <c r="N150" s="646">
        <f>SW_win.ser.201X_SEK</f>
        <v>78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49"/>
      <c r="H151" s="349"/>
      <c r="I151" s="349"/>
      <c r="J151" s="349"/>
      <c r="K151" s="349"/>
      <c r="L151" s="351" t="s">
        <v>8</v>
      </c>
      <c r="M151" s="351"/>
      <c r="N151" s="647">
        <f>SW_ms.sql.ser_SEK</f>
        <v>1498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3"/>
      <c r="H152" s="353"/>
      <c r="I152" s="353"/>
      <c r="J152" s="353"/>
      <c r="K152" s="353"/>
      <c r="L152" s="359" t="s">
        <v>411</v>
      </c>
      <c r="M152" s="359"/>
      <c r="N152" s="646">
        <f>SW_stackn_SEK</f>
        <v>9800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49"/>
      <c r="H153" s="349"/>
      <c r="I153" s="349"/>
      <c r="J153" s="349"/>
      <c r="K153" s="349"/>
      <c r="L153" s="362" t="s">
        <v>25</v>
      </c>
      <c r="M153" s="362"/>
      <c r="N153" s="647" t="str">
        <f>SW_nextcloud_SEK</f>
        <v>Begär offert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3"/>
      <c r="H154" s="353"/>
      <c r="I154" s="353"/>
      <c r="J154" s="353"/>
      <c r="K154" s="353"/>
      <c r="L154" s="355" t="s">
        <v>25</v>
      </c>
      <c r="M154" s="355"/>
      <c r="N154" s="646" t="str">
        <f>SW_suse_SEK</f>
        <v>Begär offert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49"/>
      <c r="H155" s="349"/>
      <c r="I155" s="349"/>
      <c r="J155" s="349"/>
      <c r="K155" s="349"/>
      <c r="L155" s="362" t="s">
        <v>25</v>
      </c>
      <c r="M155" s="362"/>
      <c r="N155" s="647" t="str">
        <f>SW_cluster.control_SEK</f>
        <v>3x instanspris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3"/>
      <c r="H156" s="353"/>
      <c r="I156" s="353"/>
      <c r="J156" s="353"/>
      <c r="K156" s="353"/>
      <c r="L156" s="359" t="s">
        <v>291</v>
      </c>
      <c r="M156" s="359"/>
      <c r="N156" s="646">
        <f>SW_backup.ninja_SEK</f>
        <v>400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9"/>
      <c r="F157" s="370"/>
      <c r="G157" s="370"/>
      <c r="H157" s="370"/>
      <c r="I157" s="370"/>
      <c r="J157" s="370"/>
      <c r="K157" s="370"/>
      <c r="L157" s="371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20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87</v>
      </c>
      <c r="C159" s="15"/>
      <c r="D159" s="15"/>
      <c r="F159" s="214"/>
      <c r="G159" s="214"/>
      <c r="H159" s="214"/>
      <c r="I159" s="214"/>
      <c r="J159" s="214"/>
      <c r="K159" s="214"/>
      <c r="L159" s="214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79</v>
      </c>
      <c r="C160" s="25"/>
      <c r="D160" s="25"/>
      <c r="E160" s="25" t="s">
        <v>375</v>
      </c>
      <c r="F160" s="286"/>
      <c r="G160" s="286"/>
      <c r="H160" s="286"/>
      <c r="I160" s="286"/>
      <c r="J160" s="286"/>
      <c r="K160" s="286"/>
      <c r="L160" s="642"/>
      <c r="M160" s="346"/>
      <c r="N160" s="642" t="s">
        <v>364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116</v>
      </c>
      <c r="F161" s="349"/>
      <c r="G161" s="349"/>
      <c r="H161" s="349"/>
      <c r="I161" s="349"/>
      <c r="J161" s="349"/>
      <c r="K161" s="349"/>
      <c r="L161" s="350"/>
      <c r="M161" s="700">
        <f>PAAS_man.kubernetes_SEK</f>
        <v>49000</v>
      </c>
      <c r="N161" s="700"/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3"/>
      <c r="H162" s="353"/>
      <c r="I162" s="353"/>
      <c r="J162" s="353"/>
      <c r="K162" s="353"/>
      <c r="L162" s="354"/>
      <c r="M162" s="695">
        <f>PAAS_man.postgres.sql_SEK</f>
        <v>19500</v>
      </c>
      <c r="N162" s="695"/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89</v>
      </c>
      <c r="F163" s="349"/>
      <c r="G163" s="349"/>
      <c r="H163" s="349"/>
      <c r="I163" s="349"/>
      <c r="J163" s="349"/>
      <c r="K163" s="349"/>
      <c r="L163" s="350"/>
      <c r="M163" s="696">
        <f>PAAS_man.elasticsearch_SEK</f>
        <v>19500</v>
      </c>
      <c r="N163" s="696"/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3"/>
      <c r="H164" s="353"/>
      <c r="I164" s="353"/>
      <c r="J164" s="353"/>
      <c r="K164" s="353"/>
      <c r="L164" s="354"/>
      <c r="M164" s="695">
        <f>PAAS_man.redis_SEK</f>
        <v>19000</v>
      </c>
      <c r="N164" s="695"/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49"/>
      <c r="H165" s="349"/>
      <c r="I165" s="349"/>
      <c r="J165" s="349"/>
      <c r="K165" s="349"/>
      <c r="L165" s="350"/>
      <c r="M165" s="696">
        <f>PAAS_man.nats_SEK</f>
        <v>19500</v>
      </c>
      <c r="N165" s="696"/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3"/>
      <c r="H166" s="353"/>
      <c r="I166" s="353"/>
      <c r="J166" s="353"/>
      <c r="K166" s="353"/>
      <c r="L166" s="354"/>
      <c r="M166" s="697">
        <f>PAAS_man.mariadb_SEK</f>
        <v>19500</v>
      </c>
      <c r="N166" s="697"/>
      <c r="O166" s="169"/>
      <c r="P166" s="221"/>
      <c r="Q166" s="169"/>
      <c r="R166" s="360"/>
      <c r="S166" s="308"/>
      <c r="T166" s="203"/>
    </row>
    <row r="167" spans="2:23" ht="25.5" customHeight="1">
      <c r="B167" s="107"/>
      <c r="C167" s="107"/>
      <c r="D167" s="447"/>
      <c r="E167" s="109"/>
      <c r="F167" s="370"/>
      <c r="G167" s="370"/>
      <c r="H167" s="370"/>
      <c r="I167" s="370"/>
      <c r="J167" s="370"/>
      <c r="K167" s="370"/>
      <c r="L167" s="371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649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55" t="s">
        <v>389</v>
      </c>
      <c r="C170" s="655"/>
      <c r="D170" s="655"/>
      <c r="E170" s="655"/>
      <c r="F170" s="655"/>
      <c r="G170" s="655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55"/>
      <c r="C171" s="655"/>
      <c r="D171" s="655"/>
      <c r="E171" s="655"/>
      <c r="F171" s="655"/>
      <c r="G171" s="655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55"/>
      <c r="C172" s="655"/>
      <c r="D172" s="655"/>
      <c r="E172" s="655"/>
      <c r="F172" s="655"/>
      <c r="G172" s="655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64" t="s">
        <v>377</v>
      </c>
      <c r="C173" s="664"/>
      <c r="D173" s="664"/>
      <c r="E173" s="664"/>
      <c r="F173" s="664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74"/>
      <c r="C174" s="674"/>
      <c r="D174" s="674"/>
      <c r="E174" s="674"/>
      <c r="F174" s="674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635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221"/>
      <c r="R176" s="308"/>
      <c r="S176" s="308"/>
      <c r="T176" s="203"/>
      <c r="V176" s="193"/>
      <c r="W176" s="193"/>
    </row>
    <row r="177" spans="2:23" ht="25.5" customHeight="1">
      <c r="B177" s="547" t="s">
        <v>79</v>
      </c>
      <c r="C177" s="25"/>
      <c r="D177" s="25" t="s">
        <v>375</v>
      </c>
      <c r="E177" s="140"/>
      <c r="F177" s="286"/>
      <c r="G177" s="642"/>
      <c r="H177" s="642"/>
      <c r="I177" s="642"/>
      <c r="J177" s="642"/>
      <c r="K177" s="642"/>
      <c r="L177" s="346" t="s">
        <v>386</v>
      </c>
      <c r="M177" s="346"/>
      <c r="N177" s="642" t="s">
        <v>36</v>
      </c>
      <c r="O177" s="305"/>
      <c r="P177" s="221"/>
      <c r="R177" s="308"/>
      <c r="S177" s="308"/>
      <c r="T177" s="203"/>
      <c r="V177" s="193"/>
      <c r="W177" s="193"/>
    </row>
    <row r="178" spans="2:23" ht="25.5" customHeight="1">
      <c r="B178" s="142" t="s">
        <v>163</v>
      </c>
      <c r="C178" s="137"/>
      <c r="D178" s="32" t="s">
        <v>160</v>
      </c>
      <c r="E178" s="42"/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511">
        <v>0</v>
      </c>
      <c r="O178" s="305"/>
      <c r="P178" s="221"/>
      <c r="R178" s="308"/>
      <c r="S178" s="308"/>
      <c r="T178" s="203"/>
      <c r="V178" s="193"/>
      <c r="W178" s="193"/>
    </row>
    <row r="179" spans="2:23" ht="25.5" customHeight="1">
      <c r="B179" s="145" t="s">
        <v>164</v>
      </c>
      <c r="C179" s="138"/>
      <c r="D179" s="40" t="s">
        <v>161</v>
      </c>
      <c r="E179" s="33"/>
      <c r="F179" s="353"/>
      <c r="G179" s="354"/>
      <c r="H179" s="354"/>
      <c r="I179" s="354"/>
      <c r="J179" s="354"/>
      <c r="K179" s="354"/>
      <c r="L179" s="359" t="s">
        <v>302</v>
      </c>
      <c r="M179" s="355"/>
      <c r="N179" s="510" t="s">
        <v>301</v>
      </c>
      <c r="O179" s="305"/>
      <c r="P179" s="221"/>
      <c r="R179" s="308"/>
      <c r="S179" s="308"/>
      <c r="T179" s="203"/>
      <c r="V179" s="193"/>
      <c r="W179" s="193"/>
    </row>
    <row r="180" spans="2:23" ht="25.5" customHeight="1">
      <c r="B180" s="142" t="s">
        <v>165</v>
      </c>
      <c r="C180" s="137"/>
      <c r="D180" s="32" t="s">
        <v>162</v>
      </c>
      <c r="E180" s="42"/>
      <c r="F180" s="349"/>
      <c r="G180" s="350"/>
      <c r="H180" s="350"/>
      <c r="I180" s="350"/>
      <c r="J180" s="350"/>
      <c r="K180" s="350"/>
      <c r="L180" s="351" t="s">
        <v>394</v>
      </c>
      <c r="M180" s="351"/>
      <c r="N180" s="511" t="s">
        <v>412</v>
      </c>
      <c r="O180" s="305"/>
      <c r="P180" s="221"/>
      <c r="R180" s="308"/>
      <c r="S180" s="308"/>
      <c r="T180" s="203"/>
      <c r="V180" s="193"/>
      <c r="W180" s="193"/>
    </row>
    <row r="181" spans="2:23" ht="25.5" customHeight="1">
      <c r="B181" s="110"/>
      <c r="C181" s="107"/>
      <c r="D181" s="447" t="s">
        <v>265</v>
      </c>
      <c r="E181" s="109"/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221"/>
      <c r="Q181" s="308"/>
      <c r="R181" s="308"/>
      <c r="S181" s="308"/>
      <c r="T181" s="203"/>
      <c r="V181" s="193"/>
      <c r="W181" s="193"/>
    </row>
    <row r="182" spans="2:23" ht="25.5" customHeight="1">
      <c r="B182" s="145"/>
      <c r="C182" s="138"/>
      <c r="D182" s="40"/>
      <c r="E182" s="33"/>
      <c r="F182" s="353"/>
      <c r="G182" s="354"/>
      <c r="H182" s="354"/>
      <c r="I182" s="354"/>
      <c r="J182" s="354"/>
      <c r="K182" s="354"/>
      <c r="L182" s="359"/>
      <c r="M182" s="359"/>
      <c r="N182" s="649"/>
      <c r="O182" s="305"/>
      <c r="P182" s="221"/>
      <c r="Q182" s="308"/>
      <c r="R182" s="308"/>
      <c r="S182" s="308"/>
      <c r="T182" s="203"/>
      <c r="V182" s="193"/>
      <c r="W182" s="193"/>
    </row>
    <row r="183" spans="2:23" ht="25.5" customHeight="1">
      <c r="B183" s="475" t="s">
        <v>390</v>
      </c>
      <c r="C183" s="15"/>
      <c r="D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221"/>
      <c r="R183" s="308"/>
      <c r="S183" s="308"/>
      <c r="T183" s="203"/>
      <c r="V183" s="193"/>
      <c r="W183" s="193"/>
    </row>
    <row r="184" spans="2:23" ht="25.5" customHeight="1">
      <c r="B184" s="547" t="s">
        <v>79</v>
      </c>
      <c r="C184" s="25"/>
      <c r="D184" s="25" t="s">
        <v>375</v>
      </c>
      <c r="E184" s="140"/>
      <c r="F184" s="286"/>
      <c r="G184" s="642"/>
      <c r="H184" s="642"/>
      <c r="I184" s="642"/>
      <c r="J184" s="642"/>
      <c r="K184" s="642"/>
      <c r="L184" s="346" t="s">
        <v>386</v>
      </c>
      <c r="M184" s="346"/>
      <c r="N184" s="642" t="s">
        <v>36</v>
      </c>
      <c r="O184" s="305"/>
      <c r="P184" s="221"/>
      <c r="R184" s="308"/>
      <c r="S184" s="308"/>
      <c r="T184" s="203"/>
      <c r="V184" s="193"/>
      <c r="W184" s="193"/>
    </row>
    <row r="185" spans="2:23" ht="25.5" customHeight="1">
      <c r="B185" s="142" t="s">
        <v>205</v>
      </c>
      <c r="C185" s="137"/>
      <c r="D185" s="32" t="s">
        <v>141</v>
      </c>
      <c r="E185" s="42"/>
      <c r="F185" s="349"/>
      <c r="G185" s="350"/>
      <c r="H185" s="350"/>
      <c r="I185" s="350"/>
      <c r="J185" s="350"/>
      <c r="K185" s="350"/>
      <c r="L185" s="351" t="s">
        <v>394</v>
      </c>
      <c r="M185" s="351"/>
      <c r="N185" s="496">
        <f>PS_consult.jun_SEK</f>
        <v>1127</v>
      </c>
      <c r="O185" s="305"/>
      <c r="P185" s="221"/>
      <c r="R185" s="308"/>
      <c r="S185" s="308"/>
      <c r="T185" s="203"/>
      <c r="V185" s="193"/>
      <c r="W185" s="193"/>
    </row>
    <row r="186" spans="2:23" ht="25.5" customHeight="1">
      <c r="B186" s="145" t="s">
        <v>206</v>
      </c>
      <c r="C186" s="138"/>
      <c r="D186" s="40" t="s">
        <v>142</v>
      </c>
      <c r="E186" s="33"/>
      <c r="F186" s="353"/>
      <c r="G186" s="354"/>
      <c r="H186" s="354"/>
      <c r="I186" s="354"/>
      <c r="J186" s="354"/>
      <c r="K186" s="354"/>
      <c r="L186" s="359" t="s">
        <v>394</v>
      </c>
      <c r="M186" s="359"/>
      <c r="N186" s="497">
        <f>PS_consult.sen_SEK</f>
        <v>1374</v>
      </c>
      <c r="O186" s="305"/>
      <c r="P186" s="221"/>
      <c r="R186" s="308"/>
      <c r="S186" s="308"/>
      <c r="T186" s="203"/>
      <c r="V186" s="193"/>
      <c r="W186" s="193"/>
    </row>
    <row r="187" spans="2:23" ht="25.5" customHeight="1">
      <c r="B187" s="142" t="s">
        <v>207</v>
      </c>
      <c r="C187" s="137"/>
      <c r="D187" s="32" t="s">
        <v>143</v>
      </c>
      <c r="E187" s="42"/>
      <c r="F187" s="349"/>
      <c r="G187" s="350"/>
      <c r="H187" s="350"/>
      <c r="I187" s="350"/>
      <c r="J187" s="350"/>
      <c r="K187" s="350"/>
      <c r="L187" s="351" t="s">
        <v>394</v>
      </c>
      <c r="M187" s="351"/>
      <c r="N187" s="496">
        <f>PS_cloudarch.jun_SEK</f>
        <v>1277</v>
      </c>
      <c r="O187" s="305"/>
      <c r="P187" s="221"/>
      <c r="R187" s="308"/>
      <c r="S187" s="308"/>
      <c r="T187" s="203"/>
      <c r="V187" s="193"/>
      <c r="W187" s="193"/>
    </row>
    <row r="188" spans="2:23" ht="25.5" customHeight="1">
      <c r="B188" s="145" t="s">
        <v>208</v>
      </c>
      <c r="C188" s="138"/>
      <c r="D188" s="40" t="s">
        <v>144</v>
      </c>
      <c r="E188" s="40"/>
      <c r="F188" s="369"/>
      <c r="G188" s="354"/>
      <c r="H188" s="354"/>
      <c r="I188" s="354"/>
      <c r="J188" s="354"/>
      <c r="K188" s="354"/>
      <c r="L188" s="359" t="s">
        <v>394</v>
      </c>
      <c r="M188" s="359"/>
      <c r="N188" s="497">
        <f>PS_cloudarch.sen_SEK</f>
        <v>1374</v>
      </c>
      <c r="O188" s="305"/>
      <c r="P188" s="221"/>
      <c r="R188" s="308"/>
      <c r="S188" s="308"/>
      <c r="T188" s="203"/>
      <c r="V188" s="193"/>
      <c r="W188" s="193"/>
    </row>
    <row r="189" spans="2:23" ht="25.5" customHeight="1">
      <c r="B189" s="142" t="s">
        <v>209</v>
      </c>
      <c r="C189" s="137"/>
      <c r="D189" s="32" t="s">
        <v>145</v>
      </c>
      <c r="E189" s="42"/>
      <c r="F189" s="349"/>
      <c r="G189" s="350"/>
      <c r="H189" s="350"/>
      <c r="I189" s="350"/>
      <c r="J189" s="350"/>
      <c r="K189" s="350"/>
      <c r="L189" s="351" t="s">
        <v>394</v>
      </c>
      <c r="M189" s="351"/>
      <c r="N189" s="496">
        <f>PS_pm.jun_SEK</f>
        <v>1139</v>
      </c>
      <c r="O189" s="305"/>
      <c r="P189" s="221"/>
      <c r="R189" s="308"/>
      <c r="S189" s="308"/>
      <c r="T189" s="203"/>
      <c r="V189" s="193"/>
      <c r="W189" s="193"/>
    </row>
    <row r="190" spans="2:23" ht="25.5" customHeight="1">
      <c r="B190" s="145" t="s">
        <v>210</v>
      </c>
      <c r="C190" s="138"/>
      <c r="D190" s="40" t="s">
        <v>146</v>
      </c>
      <c r="E190" s="33"/>
      <c r="F190" s="353"/>
      <c r="G190" s="354"/>
      <c r="H190" s="354"/>
      <c r="I190" s="354"/>
      <c r="J190" s="354"/>
      <c r="K190" s="354"/>
      <c r="L190" s="359" t="s">
        <v>394</v>
      </c>
      <c r="M190" s="359"/>
      <c r="N190" s="497">
        <f>PS_pm.sen_SEK</f>
        <v>1374</v>
      </c>
      <c r="O190" s="305"/>
      <c r="P190" s="221"/>
      <c r="R190" s="308"/>
      <c r="S190" s="308"/>
      <c r="T190" s="203"/>
      <c r="V190" s="193"/>
      <c r="W190" s="193"/>
    </row>
    <row r="191" spans="2:23" ht="25.5" customHeight="1">
      <c r="B191" s="110"/>
      <c r="C191" s="107"/>
      <c r="D191" s="447"/>
      <c r="E191" s="109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221"/>
      <c r="Q191" s="308"/>
      <c r="R191" s="308"/>
      <c r="S191" s="308"/>
      <c r="T191" s="203"/>
      <c r="V191" s="193"/>
      <c r="W191" s="193"/>
    </row>
    <row r="192" spans="2:23" ht="25.5" customHeight="1">
      <c r="B192" s="138"/>
      <c r="C192" s="138"/>
      <c r="D192" s="40"/>
      <c r="E192" s="33"/>
      <c r="F192" s="353"/>
      <c r="G192" s="354"/>
      <c r="H192" s="354"/>
      <c r="I192" s="354"/>
      <c r="J192" s="354"/>
      <c r="K192" s="354"/>
      <c r="L192" s="359"/>
      <c r="M192" s="359"/>
      <c r="N192" s="649"/>
      <c r="O192" s="169"/>
      <c r="P192" s="221"/>
      <c r="Q192" s="169"/>
      <c r="R192" s="360"/>
      <c r="S192" s="308"/>
      <c r="T192" s="203"/>
    </row>
    <row r="193" spans="1:23" ht="25.5" customHeight="1">
      <c r="B193" s="475" t="s">
        <v>391</v>
      </c>
      <c r="C193" s="15"/>
      <c r="D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221"/>
      <c r="R193" s="308"/>
      <c r="S193" s="308"/>
      <c r="T193" s="203"/>
      <c r="V193" s="193"/>
      <c r="W193" s="193"/>
    </row>
    <row r="194" spans="1:23" ht="25.5" customHeight="1">
      <c r="B194" s="547" t="s">
        <v>79</v>
      </c>
      <c r="C194" s="25"/>
      <c r="D194" s="25" t="s">
        <v>375</v>
      </c>
      <c r="E194" s="140"/>
      <c r="F194" s="286"/>
      <c r="G194" s="346" t="s">
        <v>392</v>
      </c>
      <c r="H194" s="346"/>
      <c r="I194" s="346"/>
      <c r="J194" s="346"/>
      <c r="K194" s="346"/>
      <c r="L194" s="346" t="s">
        <v>386</v>
      </c>
      <c r="M194" s="346"/>
      <c r="N194" s="642" t="s">
        <v>36</v>
      </c>
      <c r="O194" s="305"/>
      <c r="P194" s="221"/>
      <c r="R194" s="308"/>
      <c r="S194" s="308"/>
      <c r="T194" s="203"/>
      <c r="V194" s="193"/>
      <c r="W194" s="193"/>
    </row>
    <row r="195" spans="1:23" ht="25.5" customHeight="1">
      <c r="B195" s="142" t="s">
        <v>201</v>
      </c>
      <c r="C195" s="137"/>
      <c r="D195" s="32" t="s">
        <v>413</v>
      </c>
      <c r="E195" s="42"/>
      <c r="F195" s="349"/>
      <c r="G195" s="351" t="s">
        <v>152</v>
      </c>
      <c r="H195" s="351"/>
      <c r="I195" s="351"/>
      <c r="J195" s="351"/>
      <c r="K195" s="351"/>
      <c r="L195" s="351" t="s">
        <v>393</v>
      </c>
      <c r="M195" s="351"/>
      <c r="N195" s="511" t="s">
        <v>400</v>
      </c>
      <c r="O195" s="305"/>
      <c r="P195" s="221"/>
      <c r="R195" s="308"/>
      <c r="S195" s="308"/>
      <c r="T195" s="203"/>
      <c r="V195" s="193"/>
      <c r="W195" s="193"/>
    </row>
    <row r="196" spans="1:23" ht="25.5" customHeight="1">
      <c r="B196" s="145" t="s">
        <v>202</v>
      </c>
      <c r="C196" s="138"/>
      <c r="D196" s="40" t="s">
        <v>414</v>
      </c>
      <c r="E196" s="33"/>
      <c r="F196" s="353"/>
      <c r="G196" s="359" t="s">
        <v>152</v>
      </c>
      <c r="H196" s="359"/>
      <c r="I196" s="359"/>
      <c r="J196" s="359"/>
      <c r="K196" s="359"/>
      <c r="L196" s="359" t="s">
        <v>393</v>
      </c>
      <c r="M196" s="359"/>
      <c r="N196" s="510" t="s">
        <v>400</v>
      </c>
      <c r="O196" s="305"/>
      <c r="P196" s="221"/>
      <c r="R196" s="308"/>
      <c r="S196" s="308"/>
      <c r="T196" s="203"/>
      <c r="V196" s="193"/>
      <c r="W196" s="193"/>
    </row>
    <row r="197" spans="1:23" ht="25.5" customHeight="1">
      <c r="B197" s="142" t="s">
        <v>203</v>
      </c>
      <c r="C197" s="137"/>
      <c r="D197" s="32" t="s">
        <v>415</v>
      </c>
      <c r="E197" s="42"/>
      <c r="F197" s="349"/>
      <c r="G197" s="351" t="s">
        <v>153</v>
      </c>
      <c r="H197" s="351"/>
      <c r="I197" s="351"/>
      <c r="J197" s="351"/>
      <c r="K197" s="351"/>
      <c r="L197" s="351" t="s">
        <v>393</v>
      </c>
      <c r="M197" s="351"/>
      <c r="N197" s="511" t="s">
        <v>400</v>
      </c>
      <c r="O197" s="305"/>
      <c r="P197" s="221"/>
      <c r="R197" s="308"/>
      <c r="S197" s="308"/>
      <c r="T197" s="203"/>
      <c r="V197" s="193"/>
      <c r="W197" s="193"/>
    </row>
    <row r="198" spans="1:23" ht="25.5" customHeight="1">
      <c r="B198" s="145" t="s">
        <v>204</v>
      </c>
      <c r="C198" s="138"/>
      <c r="D198" s="40" t="s">
        <v>416</v>
      </c>
      <c r="E198" s="33"/>
      <c r="F198" s="353"/>
      <c r="G198" s="359" t="s">
        <v>153</v>
      </c>
      <c r="H198" s="359"/>
      <c r="I198" s="359"/>
      <c r="J198" s="359"/>
      <c r="K198" s="359"/>
      <c r="L198" s="359" t="s">
        <v>393</v>
      </c>
      <c r="M198" s="359"/>
      <c r="N198" s="510" t="s">
        <v>400</v>
      </c>
      <c r="O198" s="305"/>
      <c r="P198" s="221"/>
      <c r="R198" s="308"/>
      <c r="S198" s="308"/>
      <c r="T198" s="203"/>
      <c r="V198" s="193"/>
      <c r="W198" s="193"/>
    </row>
    <row r="199" spans="1:23" ht="25.5" customHeight="1">
      <c r="B199" s="107"/>
      <c r="C199" s="107"/>
      <c r="D199" s="447"/>
      <c r="E199" s="109"/>
      <c r="F199" s="370"/>
      <c r="G199" s="371"/>
      <c r="H199" s="371"/>
      <c r="I199" s="371"/>
      <c r="J199" s="371"/>
      <c r="K199" s="371"/>
      <c r="L199" s="371"/>
      <c r="M199" s="371"/>
      <c r="N199" s="373"/>
      <c r="O199" s="305"/>
      <c r="P199" s="221"/>
      <c r="Q199" s="308"/>
      <c r="R199" s="308"/>
      <c r="S199" s="308"/>
      <c r="T199" s="203"/>
      <c r="V199" s="193"/>
      <c r="W199" s="193"/>
    </row>
    <row r="200" spans="1:23" ht="25.5" customHeight="1">
      <c r="B200" s="30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92" t="s">
        <v>396</v>
      </c>
      <c r="C205" s="692"/>
      <c r="D205" s="692"/>
      <c r="E205" s="692"/>
      <c r="F205" s="692"/>
      <c r="G205" s="692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92"/>
      <c r="C206" s="692"/>
      <c r="D206" s="692"/>
      <c r="E206" s="692"/>
      <c r="F206" s="692"/>
      <c r="G206" s="692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92"/>
      <c r="C207" s="692"/>
      <c r="D207" s="692"/>
      <c r="E207" s="692"/>
      <c r="F207" s="692"/>
      <c r="G207" s="692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707" t="s">
        <v>397</v>
      </c>
      <c r="C208" s="707"/>
      <c r="D208" s="707"/>
      <c r="E208" s="707"/>
      <c r="F208" s="707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70" t="s">
        <v>398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645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399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396</v>
      </c>
      <c r="N214" s="403"/>
      <c r="O214" s="404"/>
      <c r="P214" s="207"/>
      <c r="Q214" s="345"/>
    </row>
    <row r="215" spans="1:23" ht="25.5" customHeight="1">
      <c r="A215" s="400"/>
      <c r="B215" s="694" t="s">
        <v>43</v>
      </c>
      <c r="C215" s="694"/>
      <c r="D215" s="72"/>
      <c r="E215" s="73"/>
      <c r="F215" s="405"/>
      <c r="G215" s="406"/>
      <c r="H215" s="406"/>
      <c r="I215" s="406"/>
      <c r="J215" s="406"/>
      <c r="K215" s="407"/>
      <c r="L215" s="407"/>
      <c r="M215" s="408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89" t="s">
        <v>44</v>
      </c>
      <c r="C216" s="689"/>
      <c r="D216" s="74"/>
      <c r="E216" s="75"/>
      <c r="F216" s="409"/>
      <c r="G216" s="410"/>
      <c r="H216" s="410"/>
      <c r="I216" s="410"/>
      <c r="J216" s="410"/>
      <c r="K216" s="411"/>
      <c r="L216" s="411"/>
      <c r="M216" s="412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12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90" t="s">
        <v>46</v>
      </c>
      <c r="C218" s="690"/>
      <c r="D218" s="35"/>
      <c r="E218" s="36"/>
      <c r="F218" s="342"/>
      <c r="G218" s="650"/>
      <c r="H218" s="650"/>
      <c r="I218" s="650"/>
      <c r="J218" s="650"/>
      <c r="K218" s="327"/>
      <c r="L218" s="327"/>
      <c r="M218" s="330">
        <f>N69+N77+N60+N36</f>
        <v>0</v>
      </c>
      <c r="N218" s="297"/>
      <c r="O218" s="413"/>
      <c r="P218" s="415"/>
    </row>
    <row r="219" spans="1:23" ht="25.5" customHeight="1">
      <c r="A219" s="400"/>
      <c r="B219" s="60" t="s">
        <v>20</v>
      </c>
      <c r="C219" s="61"/>
      <c r="D219" s="61"/>
      <c r="E219" s="61"/>
      <c r="F219" s="417"/>
      <c r="G219" s="418"/>
      <c r="H219" s="418"/>
      <c r="I219" s="418"/>
      <c r="J219" s="710">
        <f>SUM(M215:M218)</f>
        <v>0</v>
      </c>
      <c r="K219" s="710"/>
      <c r="L219" s="710"/>
      <c r="M219" s="710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648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650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algorithmName="SHA-512" hashValue="Z4VLyt5K+gT2Ay+jzscldDvVwXh7gfnu56O9KibXUZkVzFWlq92es9DoOVgGzrS45DF3ydSdMaSIiBkyCvqv6g==" saltValue="eDlHxjCdn4MMp+oSwbS+hg==" spinCount="100000" sheet="1" selectLockedCells="1"/>
  <mergeCells count="68">
    <mergeCell ref="B205:G207"/>
    <mergeCell ref="B208:F208"/>
    <mergeCell ref="B215:C215"/>
    <mergeCell ref="B216:C216"/>
    <mergeCell ref="B218:C218"/>
    <mergeCell ref="J219:M219"/>
    <mergeCell ref="M164:N164"/>
    <mergeCell ref="M165:N165"/>
    <mergeCell ref="M166:N166"/>
    <mergeCell ref="B170:G172"/>
    <mergeCell ref="B173:F173"/>
    <mergeCell ref="B174:F174"/>
    <mergeCell ref="B130:G132"/>
    <mergeCell ref="B133:F133"/>
    <mergeCell ref="B134:F134"/>
    <mergeCell ref="M161:N161"/>
    <mergeCell ref="M162:N162"/>
    <mergeCell ref="M163:N163"/>
    <mergeCell ref="F117:G117"/>
    <mergeCell ref="J117:K117"/>
    <mergeCell ref="F118:G118"/>
    <mergeCell ref="J118:K118"/>
    <mergeCell ref="F119:G119"/>
    <mergeCell ref="J119:K119"/>
    <mergeCell ref="B109:G111"/>
    <mergeCell ref="B112:F112"/>
    <mergeCell ref="B113:F113"/>
    <mergeCell ref="C116:D116"/>
    <mergeCell ref="F116:G116"/>
    <mergeCell ref="J116:K116"/>
    <mergeCell ref="D100:E100"/>
    <mergeCell ref="F100:G100"/>
    <mergeCell ref="H100:I100"/>
    <mergeCell ref="J100:K100"/>
    <mergeCell ref="F103:G103"/>
    <mergeCell ref="F104:G104"/>
    <mergeCell ref="D98:E98"/>
    <mergeCell ref="F98:G98"/>
    <mergeCell ref="H98:I98"/>
    <mergeCell ref="J98:K98"/>
    <mergeCell ref="D99:E99"/>
    <mergeCell ref="F99:G99"/>
    <mergeCell ref="H99:I99"/>
    <mergeCell ref="J99:K99"/>
    <mergeCell ref="J95:K95"/>
    <mergeCell ref="D96:E96"/>
    <mergeCell ref="F96:G96"/>
    <mergeCell ref="H96:I96"/>
    <mergeCell ref="J96:K96"/>
    <mergeCell ref="D97:E97"/>
    <mergeCell ref="F97:G97"/>
    <mergeCell ref="H97:I97"/>
    <mergeCell ref="J97:K97"/>
    <mergeCell ref="F83:G83"/>
    <mergeCell ref="H83:I83"/>
    <mergeCell ref="B88:G90"/>
    <mergeCell ref="B91:F91"/>
    <mergeCell ref="B92:F92"/>
    <mergeCell ref="D95:E95"/>
    <mergeCell ref="F95:G95"/>
    <mergeCell ref="H95:I95"/>
    <mergeCell ref="B4:C4"/>
    <mergeCell ref="B15:G17"/>
    <mergeCell ref="B19:F19"/>
    <mergeCell ref="F81:G81"/>
    <mergeCell ref="H81:I81"/>
    <mergeCell ref="F82:G82"/>
    <mergeCell ref="H82:I82"/>
  </mergeCells>
  <conditionalFormatting sqref="M25:N35 M61:N63 M39:N39">
    <cfRule type="cellIs" dxfId="28" priority="29" operator="greaterThan">
      <formula>0</formula>
    </cfRule>
  </conditionalFormatting>
  <conditionalFormatting sqref="H117 H104 J82:J83 I25:K35 I65:K68">
    <cfRule type="cellIs" dxfId="27" priority="28" operator="greaterThan">
      <formula>0</formula>
    </cfRule>
  </conditionalFormatting>
  <conditionalFormatting sqref="J83">
    <cfRule type="cellIs" dxfId="26" priority="27" operator="greaterThan">
      <formula>0</formula>
    </cfRule>
  </conditionalFormatting>
  <conditionalFormatting sqref="J82">
    <cfRule type="cellIs" dxfId="25" priority="26" operator="greaterThan">
      <formula>0</formula>
    </cfRule>
  </conditionalFormatting>
  <conditionalFormatting sqref="H104">
    <cfRule type="cellIs" dxfId="24" priority="25" operator="greaterThan">
      <formula>0</formula>
    </cfRule>
  </conditionalFormatting>
  <conditionalFormatting sqref="I25:I35">
    <cfRule type="cellIs" dxfId="23" priority="24" operator="lessThan">
      <formula>$J25</formula>
    </cfRule>
  </conditionalFormatting>
  <conditionalFormatting sqref="H119 J119">
    <cfRule type="cellIs" dxfId="22" priority="23" operator="greaterThan">
      <formula>0</formula>
    </cfRule>
  </conditionalFormatting>
  <conditionalFormatting sqref="J119">
    <cfRule type="cellIs" dxfId="21" priority="22" operator="greaterThan">
      <formula>0</formula>
    </cfRule>
  </conditionalFormatting>
  <conditionalFormatting sqref="H118 J118">
    <cfRule type="cellIs" dxfId="20" priority="21" operator="greaterThan">
      <formula>0</formula>
    </cfRule>
  </conditionalFormatting>
  <conditionalFormatting sqref="J118">
    <cfRule type="cellIs" dxfId="19" priority="20" operator="greaterThan">
      <formula>0</formula>
    </cfRule>
  </conditionalFormatting>
  <conditionalFormatting sqref="M65:N65 M67:N67">
    <cfRule type="cellIs" dxfId="18" priority="16" operator="greaterThan">
      <formula>0</formula>
    </cfRule>
  </conditionalFormatting>
  <conditionalFormatting sqref="I65:K68">
    <cfRule type="cellIs" dxfId="17" priority="19" operator="lessThan">
      <formula>$J65</formula>
    </cfRule>
  </conditionalFormatting>
  <conditionalFormatting sqref="M66:N66 M68:N68">
    <cfRule type="cellIs" dxfId="16" priority="18" operator="greaterThan">
      <formula>0</formula>
    </cfRule>
  </conditionalFormatting>
  <conditionalFormatting sqref="M66:N66 M68:N68">
    <cfRule type="cellIs" dxfId="15" priority="17" operator="greaterThan">
      <formula>0</formula>
    </cfRule>
  </conditionalFormatting>
  <conditionalFormatting sqref="I74:J76">
    <cfRule type="cellIs" dxfId="14" priority="13" operator="greaterThan">
      <formula>0</formula>
    </cfRule>
  </conditionalFormatting>
  <conditionalFormatting sqref="M74:N75">
    <cfRule type="cellIs" dxfId="13" priority="14" operator="greaterThan">
      <formula>0</formula>
    </cfRule>
  </conditionalFormatting>
  <conditionalFormatting sqref="I74:J76">
    <cfRule type="cellIs" dxfId="12" priority="15" operator="lessThan">
      <formula>$J74</formula>
    </cfRule>
  </conditionalFormatting>
  <conditionalFormatting sqref="M76:N76">
    <cfRule type="cellIs" dxfId="11" priority="12" operator="greaterThan">
      <formula>0</formula>
    </cfRule>
  </conditionalFormatting>
  <conditionalFormatting sqref="K74:K76">
    <cfRule type="cellIs" dxfId="10" priority="11" operator="greaterThan">
      <formula>0</formula>
    </cfRule>
  </conditionalFormatting>
  <conditionalFormatting sqref="M42:N42 M44:N44 M46:N46 M48:N48 M50:N50 M52:N52 M54:N54 M56:N56 M58:N58">
    <cfRule type="cellIs" dxfId="9" priority="8" operator="greaterThan">
      <formula>0</formula>
    </cfRule>
  </conditionalFormatting>
  <conditionalFormatting sqref="M65:N65 M67:N67">
    <cfRule type="cellIs" dxfId="8" priority="1" operator="greaterThan">
      <formula>0</formula>
    </cfRule>
  </conditionalFormatting>
  <conditionalFormatting sqref="I41:K59">
    <cfRule type="cellIs" dxfId="7" priority="9" operator="greaterThan">
      <formula>0</formula>
    </cfRule>
  </conditionalFormatting>
  <conditionalFormatting sqref="M41:N41 M43:N43 M45:N45 M47:N47 M49:N49 M51:N51 M53:N53 M55:N55 M57:N57 M59:N59">
    <cfRule type="cellIs" dxfId="6" priority="7" operator="greaterThan">
      <formula>0</formula>
    </cfRule>
  </conditionalFormatting>
  <conditionalFormatting sqref="M42:N42 M44:N44 M46:N46 M48:N48 M50:N50 M52:N52 M54:N54 M56:N56 M58:N58">
    <cfRule type="cellIs" dxfId="5" priority="6" operator="greaterThan">
      <formula>0</formula>
    </cfRule>
  </conditionalFormatting>
  <conditionalFormatting sqref="M41:N41 M43:N43 M45:N45 M47:N47 M49:N49 M51:N51 M53:N53 M55:N55 M57:N57 M59:N59">
    <cfRule type="cellIs" dxfId="4" priority="5" operator="greaterThan">
      <formula>0</formula>
    </cfRule>
  </conditionalFormatting>
  <conditionalFormatting sqref="N41:N59">
    <cfRule type="cellIs" dxfId="3" priority="4" operator="greaterThan">
      <formula>0</formula>
    </cfRule>
  </conditionalFormatting>
  <conditionalFormatting sqref="I41:I59">
    <cfRule type="cellIs" dxfId="2" priority="10" operator="lessThan">
      <formula>$J41</formula>
    </cfRule>
  </conditionalFormatting>
  <conditionalFormatting sqref="M66:N66 M68:N68">
    <cfRule type="cellIs" dxfId="1" priority="3" operator="greaterThan">
      <formula>0</formula>
    </cfRule>
  </conditionalFormatting>
  <conditionalFormatting sqref="M65:N65 M67:N67">
    <cfRule type="cellIs" dxfId="0" priority="2" operator="greaterThan">
      <formula>0</formula>
    </cfRule>
  </conditionalFormatting>
  <hyperlinks>
    <hyperlink ref="B10:C10" r:id="rId1" display="    E-mail: sales@safespring.se" xr:uid="{8649450D-1A00-664A-A696-44083FCD9462}"/>
    <hyperlink ref="B10" r:id="rId2" xr:uid="{BA6ADEC5-189A-3E47-A1D7-427CDF7632E3}"/>
    <hyperlink ref="B212" r:id="rId3" tooltip="Skicka ett mail till Safespring." xr:uid="{B998BA44-8B47-D743-837D-25D19AA296F9}"/>
  </hyperlinks>
  <printOptions horizontalCentered="1" verticalCentered="1"/>
  <pageMargins left="0" right="0" top="0" bottom="0" header="0" footer="0"/>
  <pageSetup paperSize="9" scale="15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F1B-E14B-1F42-9BF4-AD9F8BD585F4}">
  <sheetPr>
    <pageSetUpPr fitToPage="1"/>
  </sheetPr>
  <dimension ref="A1:AI553"/>
  <sheetViews>
    <sheetView showGridLines="0" topLeftCell="A2" zoomScale="90" zoomScaleNormal="90" zoomScaleSheetLayoutView="100" workbookViewId="0">
      <selection activeCell="K25" sqref="K25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.83203125" style="10" customWidth="1"/>
    <col min="6" max="8" width="15.83203125" style="204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2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2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2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54"/>
      <c r="C4" s="654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356</v>
      </c>
      <c r="C5" s="600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2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2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2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2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601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3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5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55" t="s">
        <v>3</v>
      </c>
      <c r="C15" s="655"/>
      <c r="D15" s="655"/>
      <c r="E15" s="655"/>
      <c r="F15" s="655"/>
      <c r="G15" s="655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55"/>
      <c r="C16" s="655"/>
      <c r="D16" s="655"/>
      <c r="E16" s="655"/>
      <c r="F16" s="655"/>
      <c r="G16" s="655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55"/>
      <c r="C17" s="655"/>
      <c r="D17" s="655"/>
      <c r="E17" s="655"/>
      <c r="F17" s="655"/>
      <c r="G17" s="655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74" t="s">
        <v>5</v>
      </c>
      <c r="C19" s="674"/>
      <c r="D19" s="674"/>
      <c r="E19" s="674"/>
      <c r="F19" s="674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602"/>
      <c r="D20" s="76"/>
      <c r="E20" s="76"/>
      <c r="F20" s="568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603"/>
      <c r="D21" s="141"/>
      <c r="E21" s="141"/>
      <c r="F21" s="568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603"/>
      <c r="D22" s="141"/>
      <c r="E22" s="141"/>
      <c r="F22" s="568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604" t="s">
        <v>337</v>
      </c>
      <c r="D24" s="14" t="s">
        <v>8</v>
      </c>
      <c r="E24" s="14" t="s">
        <v>9</v>
      </c>
      <c r="F24" s="14" t="s">
        <v>10</v>
      </c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605" t="s">
        <v>351</v>
      </c>
      <c r="D25" s="122">
        <v>1</v>
      </c>
      <c r="E25" s="122">
        <v>1</v>
      </c>
      <c r="F25" s="122">
        <v>40</v>
      </c>
      <c r="G25" s="217">
        <f t="shared" ref="G25:G35" si="0">H25/720</f>
        <v>0.51591666666666669</v>
      </c>
      <c r="H25" s="218">
        <f t="shared" ref="H25:H35" si="1">D25*IAAS_vcpu_sunet_b_m+E25*IAAS_ram_sunet_b_m+F25*IAAS_ssd_SUNET</f>
        <v>371.46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2">J25*D25*SW_win.ser.201X_SEK+K25*D25*SW_ms.sql.ser_SEK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606" t="s">
        <v>351</v>
      </c>
      <c r="D26" s="633">
        <v>1</v>
      </c>
      <c r="E26" s="633">
        <v>2</v>
      </c>
      <c r="F26" s="498">
        <v>40</v>
      </c>
      <c r="G26" s="223">
        <f t="shared" si="0"/>
        <v>0.62695833333333328</v>
      </c>
      <c r="H26" s="224">
        <f t="shared" si="1"/>
        <v>451.40999999999997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2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605" t="s">
        <v>351</v>
      </c>
      <c r="D27" s="122">
        <v>2</v>
      </c>
      <c r="E27" s="122">
        <v>4</v>
      </c>
      <c r="F27" s="122">
        <v>40</v>
      </c>
      <c r="G27" s="217">
        <f t="shared" si="0"/>
        <v>0.99424999999999986</v>
      </c>
      <c r="H27" s="218">
        <f t="shared" si="1"/>
        <v>715.8599999999999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2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606" t="s">
        <v>351</v>
      </c>
      <c r="D28" s="633">
        <v>4</v>
      </c>
      <c r="E28" s="633">
        <v>8</v>
      </c>
      <c r="F28" s="498">
        <v>40</v>
      </c>
      <c r="G28" s="223">
        <f t="shared" si="0"/>
        <v>1.7288333333333332</v>
      </c>
      <c r="H28" s="224">
        <f t="shared" si="1"/>
        <v>1244.76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2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605" t="s">
        <v>351</v>
      </c>
      <c r="D29" s="122">
        <v>8</v>
      </c>
      <c r="E29" s="122">
        <v>16</v>
      </c>
      <c r="F29" s="122">
        <v>40</v>
      </c>
      <c r="G29" s="217">
        <f t="shared" si="0"/>
        <v>3.198</v>
      </c>
      <c r="H29" s="218">
        <f t="shared" si="1"/>
        <v>2302.56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2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606" t="s">
        <v>351</v>
      </c>
      <c r="D30" s="633">
        <v>16</v>
      </c>
      <c r="E30" s="633">
        <v>32</v>
      </c>
      <c r="F30" s="498">
        <v>40</v>
      </c>
      <c r="G30" s="223">
        <f t="shared" si="0"/>
        <v>6.136333333333333</v>
      </c>
      <c r="H30" s="224">
        <f t="shared" si="1"/>
        <v>4418.16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2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605" t="s">
        <v>351</v>
      </c>
      <c r="D31" s="122">
        <v>1</v>
      </c>
      <c r="E31" s="122">
        <v>4</v>
      </c>
      <c r="F31" s="122">
        <v>40</v>
      </c>
      <c r="G31" s="217">
        <f t="shared" si="0"/>
        <v>0.84904166666666658</v>
      </c>
      <c r="H31" s="218">
        <f t="shared" si="1"/>
        <v>611.30999999999995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2"/>
        <v>0</v>
      </c>
      <c r="P31" s="221"/>
      <c r="Q31" s="576"/>
    </row>
    <row r="32" spans="2:29" s="193" customFormat="1" ht="25.5" customHeight="1">
      <c r="B32" s="515" t="s">
        <v>104</v>
      </c>
      <c r="C32" s="606" t="s">
        <v>351</v>
      </c>
      <c r="D32" s="633">
        <v>2</v>
      </c>
      <c r="E32" s="633">
        <v>8</v>
      </c>
      <c r="F32" s="498">
        <v>40</v>
      </c>
      <c r="G32" s="223">
        <f t="shared" si="0"/>
        <v>1.4384166666666667</v>
      </c>
      <c r="H32" s="224">
        <f t="shared" si="1"/>
        <v>1035.6600000000001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2"/>
        <v>0</v>
      </c>
      <c r="P32" s="221"/>
      <c r="Q32" s="576"/>
    </row>
    <row r="33" spans="2:23" s="193" customFormat="1" ht="25.5" customHeight="1">
      <c r="B33" s="514" t="s">
        <v>211</v>
      </c>
      <c r="C33" s="605" t="s">
        <v>351</v>
      </c>
      <c r="D33" s="122">
        <v>4</v>
      </c>
      <c r="E33" s="122">
        <v>16</v>
      </c>
      <c r="F33" s="122">
        <v>40</v>
      </c>
      <c r="G33" s="217">
        <f t="shared" si="0"/>
        <v>2.6171666666666669</v>
      </c>
      <c r="H33" s="218">
        <f t="shared" si="1"/>
        <v>1884.3600000000001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2"/>
        <v>0</v>
      </c>
      <c r="P33" s="221"/>
      <c r="Q33" s="576"/>
    </row>
    <row r="34" spans="2:23" s="193" customFormat="1" ht="25.5" customHeight="1">
      <c r="B34" s="515" t="s">
        <v>105</v>
      </c>
      <c r="C34" s="606" t="s">
        <v>351</v>
      </c>
      <c r="D34" s="633">
        <v>8</v>
      </c>
      <c r="E34" s="633">
        <v>32</v>
      </c>
      <c r="F34" s="498">
        <v>40</v>
      </c>
      <c r="G34" s="223">
        <f t="shared" si="0"/>
        <v>4.9746666666666668</v>
      </c>
      <c r="H34" s="224">
        <f t="shared" si="1"/>
        <v>3581.76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2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605" t="s">
        <v>351</v>
      </c>
      <c r="D35" s="122">
        <v>16</v>
      </c>
      <c r="E35" s="122">
        <v>65</v>
      </c>
      <c r="F35" s="122">
        <v>40</v>
      </c>
      <c r="G35" s="217">
        <f t="shared" si="0"/>
        <v>9.8007083333333345</v>
      </c>
      <c r="H35" s="218">
        <f t="shared" si="1"/>
        <v>7056.51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2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607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608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608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604" t="s">
        <v>337</v>
      </c>
      <c r="D40" s="14" t="s">
        <v>8</v>
      </c>
      <c r="E40" s="14" t="s">
        <v>9</v>
      </c>
      <c r="F40" s="14" t="s">
        <v>10</v>
      </c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609" t="s">
        <v>351</v>
      </c>
      <c r="D41" s="630">
        <v>1</v>
      </c>
      <c r="E41" s="630">
        <v>1</v>
      </c>
      <c r="F41" s="102">
        <v>10</v>
      </c>
      <c r="G41" s="249">
        <f>H41/720</f>
        <v>0.24770833333333336</v>
      </c>
      <c r="H41" s="250">
        <f t="shared" ref="H41:H59" si="4">D41*IAAS_vcpu_SUNET+E41*IAAS_ram_SUNET+F41*IAAS_nvme_SUNET</f>
        <v>178.35000000000002</v>
      </c>
      <c r="I41" s="219"/>
      <c r="J41" s="219"/>
      <c r="K41" s="219"/>
      <c r="L41" s="251" t="s">
        <v>18</v>
      </c>
      <c r="M41" s="220">
        <f t="shared" ref="M41:M59" si="5">ROUNDUP(I41*H41,2)</f>
        <v>0</v>
      </c>
      <c r="N41" s="220">
        <f t="shared" ref="N41:N59" si="6">J41*D41*SW_win.ser.201X_SEK+K41*D41*SW_ms.sql.ser_SEK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610" t="s">
        <v>351</v>
      </c>
      <c r="D42" s="632">
        <v>4</v>
      </c>
      <c r="E42" s="632">
        <v>8</v>
      </c>
      <c r="F42" s="121">
        <v>250</v>
      </c>
      <c r="G42" s="245">
        <f t="shared" ref="G42:G59" si="7">H42/720</f>
        <v>1.7254166666666668</v>
      </c>
      <c r="H42" s="246">
        <f t="shared" si="4"/>
        <v>1242.3000000000002</v>
      </c>
      <c r="I42" s="219"/>
      <c r="J42" s="219"/>
      <c r="K42" s="219"/>
      <c r="L42" s="253" t="s">
        <v>18</v>
      </c>
      <c r="M42" s="225">
        <f t="shared" si="5"/>
        <v>0</v>
      </c>
      <c r="N42" s="225">
        <f t="shared" si="6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609" t="s">
        <v>351</v>
      </c>
      <c r="D43" s="630">
        <v>8</v>
      </c>
      <c r="E43" s="630">
        <v>16</v>
      </c>
      <c r="F43" s="102">
        <v>250</v>
      </c>
      <c r="G43" s="249">
        <f t="shared" si="7"/>
        <v>3.0237500000000006</v>
      </c>
      <c r="H43" s="250">
        <f t="shared" si="4"/>
        <v>2177.1000000000004</v>
      </c>
      <c r="I43" s="219"/>
      <c r="J43" s="219"/>
      <c r="K43" s="219"/>
      <c r="L43" s="251" t="s">
        <v>18</v>
      </c>
      <c r="M43" s="220">
        <f t="shared" si="5"/>
        <v>0</v>
      </c>
      <c r="N43" s="220">
        <f t="shared" si="6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610" t="s">
        <v>351</v>
      </c>
      <c r="D44" s="632">
        <v>16</v>
      </c>
      <c r="E44" s="632">
        <v>32</v>
      </c>
      <c r="F44" s="121">
        <v>250</v>
      </c>
      <c r="G44" s="245">
        <f t="shared" si="7"/>
        <v>5.6204166666666673</v>
      </c>
      <c r="H44" s="246">
        <f t="shared" si="4"/>
        <v>4046.7000000000003</v>
      </c>
      <c r="I44" s="219"/>
      <c r="J44" s="219"/>
      <c r="K44" s="219"/>
      <c r="L44" s="253" t="s">
        <v>18</v>
      </c>
      <c r="M44" s="225">
        <f t="shared" si="5"/>
        <v>0</v>
      </c>
      <c r="N44" s="225">
        <f t="shared" si="6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609" t="s">
        <v>351</v>
      </c>
      <c r="D45" s="630">
        <v>16</v>
      </c>
      <c r="E45" s="630">
        <v>32</v>
      </c>
      <c r="F45" s="102">
        <v>500</v>
      </c>
      <c r="G45" s="249">
        <f t="shared" si="7"/>
        <v>6.0475000000000012</v>
      </c>
      <c r="H45" s="250">
        <f t="shared" si="4"/>
        <v>4354.2000000000007</v>
      </c>
      <c r="I45" s="219"/>
      <c r="J45" s="219"/>
      <c r="K45" s="219"/>
      <c r="L45" s="251" t="s">
        <v>18</v>
      </c>
      <c r="M45" s="220">
        <f t="shared" si="5"/>
        <v>0</v>
      </c>
      <c r="N45" s="220">
        <f t="shared" si="6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610" t="s">
        <v>351</v>
      </c>
      <c r="D46" s="632">
        <v>16</v>
      </c>
      <c r="E46" s="632">
        <v>32</v>
      </c>
      <c r="F46" s="121">
        <v>1000</v>
      </c>
      <c r="G46" s="245">
        <f t="shared" si="7"/>
        <v>6.9016666666666673</v>
      </c>
      <c r="H46" s="246">
        <f t="shared" si="4"/>
        <v>4969.2000000000007</v>
      </c>
      <c r="I46" s="219"/>
      <c r="J46" s="219"/>
      <c r="K46" s="219"/>
      <c r="L46" s="253" t="s">
        <v>18</v>
      </c>
      <c r="M46" s="225">
        <f t="shared" si="5"/>
        <v>0</v>
      </c>
      <c r="N46" s="225">
        <f t="shared" si="6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609" t="s">
        <v>351</v>
      </c>
      <c r="D47" s="630">
        <v>32</v>
      </c>
      <c r="E47" s="630">
        <v>65</v>
      </c>
      <c r="F47" s="102">
        <v>250</v>
      </c>
      <c r="G47" s="249">
        <f t="shared" si="7"/>
        <v>10.907708333333334</v>
      </c>
      <c r="H47" s="250">
        <f t="shared" si="4"/>
        <v>7853.55</v>
      </c>
      <c r="I47" s="219"/>
      <c r="J47" s="219"/>
      <c r="K47" s="219"/>
      <c r="L47" s="251" t="s">
        <v>18</v>
      </c>
      <c r="M47" s="220">
        <f t="shared" si="5"/>
        <v>0</v>
      </c>
      <c r="N47" s="220">
        <f t="shared" si="6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610" t="s">
        <v>351</v>
      </c>
      <c r="D48" s="632">
        <v>32</v>
      </c>
      <c r="E48" s="632">
        <v>65</v>
      </c>
      <c r="F48" s="121">
        <v>500</v>
      </c>
      <c r="G48" s="245">
        <f t="shared" si="7"/>
        <v>11.334791666666668</v>
      </c>
      <c r="H48" s="246">
        <f t="shared" si="4"/>
        <v>8161.05</v>
      </c>
      <c r="I48" s="219"/>
      <c r="J48" s="219"/>
      <c r="K48" s="219"/>
      <c r="L48" s="253" t="s">
        <v>18</v>
      </c>
      <c r="M48" s="225">
        <f t="shared" si="5"/>
        <v>0</v>
      </c>
      <c r="N48" s="225">
        <f t="shared" si="6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609" t="s">
        <v>351</v>
      </c>
      <c r="D49" s="630">
        <v>32</v>
      </c>
      <c r="E49" s="630">
        <v>65</v>
      </c>
      <c r="F49" s="102">
        <v>1000</v>
      </c>
      <c r="G49" s="249">
        <f t="shared" si="7"/>
        <v>12.188958333333332</v>
      </c>
      <c r="H49" s="250">
        <f t="shared" si="4"/>
        <v>8776.0499999999993</v>
      </c>
      <c r="I49" s="219"/>
      <c r="J49" s="219"/>
      <c r="K49" s="219"/>
      <c r="L49" s="251" t="s">
        <v>18</v>
      </c>
      <c r="M49" s="220">
        <f t="shared" si="5"/>
        <v>0</v>
      </c>
      <c r="N49" s="220">
        <f t="shared" si="6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610" t="s">
        <v>351</v>
      </c>
      <c r="D50" s="632">
        <v>4</v>
      </c>
      <c r="E50" s="632">
        <v>16</v>
      </c>
      <c r="F50" s="121">
        <v>250</v>
      </c>
      <c r="G50" s="245">
        <f t="shared" si="7"/>
        <v>2.4770833333333333</v>
      </c>
      <c r="H50" s="246">
        <f t="shared" si="4"/>
        <v>1783.5</v>
      </c>
      <c r="I50" s="219"/>
      <c r="J50" s="219"/>
      <c r="K50" s="219"/>
      <c r="L50" s="253" t="s">
        <v>18</v>
      </c>
      <c r="M50" s="225">
        <f t="shared" si="5"/>
        <v>0</v>
      </c>
      <c r="N50" s="225">
        <f t="shared" si="6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609" t="s">
        <v>351</v>
      </c>
      <c r="D51" s="630">
        <v>8</v>
      </c>
      <c r="E51" s="630">
        <v>32</v>
      </c>
      <c r="F51" s="102">
        <v>250</v>
      </c>
      <c r="G51" s="249">
        <f t="shared" si="7"/>
        <v>4.5270833333333336</v>
      </c>
      <c r="H51" s="250">
        <f t="shared" si="4"/>
        <v>3259.5</v>
      </c>
      <c r="I51" s="219"/>
      <c r="J51" s="219"/>
      <c r="K51" s="219"/>
      <c r="L51" s="251" t="s">
        <v>18</v>
      </c>
      <c r="M51" s="220">
        <f t="shared" si="5"/>
        <v>0</v>
      </c>
      <c r="N51" s="220">
        <f t="shared" si="6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610" t="s">
        <v>351</v>
      </c>
      <c r="D52" s="632">
        <v>8</v>
      </c>
      <c r="E52" s="632">
        <v>32</v>
      </c>
      <c r="F52" s="121">
        <v>500</v>
      </c>
      <c r="G52" s="245">
        <f t="shared" si="7"/>
        <v>4.9541666666666666</v>
      </c>
      <c r="H52" s="246">
        <f t="shared" si="4"/>
        <v>3567</v>
      </c>
      <c r="I52" s="219"/>
      <c r="J52" s="219"/>
      <c r="K52" s="219"/>
      <c r="L52" s="253" t="s">
        <v>18</v>
      </c>
      <c r="M52" s="225">
        <f t="shared" si="5"/>
        <v>0</v>
      </c>
      <c r="N52" s="225">
        <f t="shared" si="6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609" t="s">
        <v>351</v>
      </c>
      <c r="D53" s="630">
        <v>8</v>
      </c>
      <c r="E53" s="630">
        <v>32</v>
      </c>
      <c r="F53" s="102">
        <v>1000</v>
      </c>
      <c r="G53" s="249">
        <f t="shared" si="7"/>
        <v>5.8083333333333336</v>
      </c>
      <c r="H53" s="250">
        <f t="shared" si="4"/>
        <v>4182</v>
      </c>
      <c r="I53" s="219"/>
      <c r="J53" s="219"/>
      <c r="K53" s="219"/>
      <c r="L53" s="251" t="s">
        <v>18</v>
      </c>
      <c r="M53" s="220">
        <f t="shared" si="5"/>
        <v>0</v>
      </c>
      <c r="N53" s="220">
        <f t="shared" si="6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610" t="s">
        <v>351</v>
      </c>
      <c r="D54" s="632">
        <v>16</v>
      </c>
      <c r="E54" s="632">
        <v>65</v>
      </c>
      <c r="F54" s="121">
        <v>250</v>
      </c>
      <c r="G54" s="245">
        <f t="shared" si="7"/>
        <v>8.7210416666666664</v>
      </c>
      <c r="H54" s="246">
        <f t="shared" si="4"/>
        <v>6279.15</v>
      </c>
      <c r="I54" s="219"/>
      <c r="J54" s="219"/>
      <c r="K54" s="219"/>
      <c r="L54" s="253" t="s">
        <v>18</v>
      </c>
      <c r="M54" s="225">
        <f t="shared" si="5"/>
        <v>0</v>
      </c>
      <c r="N54" s="225">
        <f t="shared" si="6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609" t="s">
        <v>351</v>
      </c>
      <c r="D55" s="630">
        <v>16</v>
      </c>
      <c r="E55" s="630">
        <v>65</v>
      </c>
      <c r="F55" s="102">
        <v>500</v>
      </c>
      <c r="G55" s="249">
        <f t="shared" si="7"/>
        <v>9.1481250000000003</v>
      </c>
      <c r="H55" s="250">
        <f t="shared" si="4"/>
        <v>6586.65</v>
      </c>
      <c r="I55" s="219"/>
      <c r="J55" s="219"/>
      <c r="K55" s="219"/>
      <c r="L55" s="251" t="s">
        <v>18</v>
      </c>
      <c r="M55" s="220">
        <f t="shared" si="5"/>
        <v>0</v>
      </c>
      <c r="N55" s="220">
        <f t="shared" si="6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610" t="s">
        <v>351</v>
      </c>
      <c r="D56" s="632">
        <v>16</v>
      </c>
      <c r="E56" s="632">
        <v>65</v>
      </c>
      <c r="F56" s="121">
        <v>1000</v>
      </c>
      <c r="G56" s="245">
        <f t="shared" si="7"/>
        <v>10.002291666666666</v>
      </c>
      <c r="H56" s="246">
        <f t="shared" si="4"/>
        <v>7201.65</v>
      </c>
      <c r="I56" s="219"/>
      <c r="J56" s="219"/>
      <c r="K56" s="219"/>
      <c r="L56" s="253" t="s">
        <v>18</v>
      </c>
      <c r="M56" s="225">
        <f t="shared" si="5"/>
        <v>0</v>
      </c>
      <c r="N56" s="225">
        <f t="shared" si="6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609" t="s">
        <v>351</v>
      </c>
      <c r="D57" s="630">
        <v>32</v>
      </c>
      <c r="E57" s="630">
        <v>131</v>
      </c>
      <c r="F57" s="102">
        <v>250</v>
      </c>
      <c r="G57" s="249">
        <f t="shared" si="7"/>
        <v>17.108958333333334</v>
      </c>
      <c r="H57" s="250">
        <f t="shared" si="4"/>
        <v>12318.45</v>
      </c>
      <c r="I57" s="219"/>
      <c r="J57" s="219"/>
      <c r="K57" s="219"/>
      <c r="L57" s="251" t="s">
        <v>18</v>
      </c>
      <c r="M57" s="220">
        <f t="shared" si="5"/>
        <v>0</v>
      </c>
      <c r="N57" s="220">
        <f t="shared" si="6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610" t="s">
        <v>351</v>
      </c>
      <c r="D58" s="632">
        <v>32</v>
      </c>
      <c r="E58" s="632">
        <v>131</v>
      </c>
      <c r="F58" s="121">
        <v>500</v>
      </c>
      <c r="G58" s="245">
        <f t="shared" si="7"/>
        <v>17.536041666666669</v>
      </c>
      <c r="H58" s="246">
        <f t="shared" si="4"/>
        <v>12625.95</v>
      </c>
      <c r="I58" s="219"/>
      <c r="J58" s="219"/>
      <c r="K58" s="219"/>
      <c r="L58" s="253" t="s">
        <v>18</v>
      </c>
      <c r="M58" s="225">
        <f t="shared" si="5"/>
        <v>0</v>
      </c>
      <c r="N58" s="225">
        <f t="shared" si="6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609" t="s">
        <v>351</v>
      </c>
      <c r="D59" s="630">
        <v>32</v>
      </c>
      <c r="E59" s="630">
        <v>131</v>
      </c>
      <c r="F59" s="102">
        <v>1000</v>
      </c>
      <c r="G59" s="249">
        <f t="shared" si="7"/>
        <v>18.390208333333334</v>
      </c>
      <c r="H59" s="250">
        <f t="shared" si="4"/>
        <v>13240.95</v>
      </c>
      <c r="I59" s="219"/>
      <c r="J59" s="219"/>
      <c r="K59" s="219"/>
      <c r="L59" s="251" t="s">
        <v>18</v>
      </c>
      <c r="M59" s="220">
        <f t="shared" si="5"/>
        <v>0</v>
      </c>
      <c r="N59" s="220">
        <f t="shared" si="6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607"/>
      <c r="D60" s="89"/>
      <c r="E60" s="89"/>
      <c r="F60" s="89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611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611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340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604" t="s">
        <v>337</v>
      </c>
      <c r="D64" s="14" t="s">
        <v>70</v>
      </c>
      <c r="E64" s="14" t="s">
        <v>9</v>
      </c>
      <c r="F64" s="103" t="s">
        <v>10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263" customFormat="1" ht="25">
      <c r="B65" s="519" t="s">
        <v>320</v>
      </c>
      <c r="C65" s="609" t="s">
        <v>338</v>
      </c>
      <c r="D65" s="630">
        <v>1</v>
      </c>
      <c r="E65" s="630">
        <v>1</v>
      </c>
      <c r="F65" s="105">
        <v>10</v>
      </c>
      <c r="G65" s="495">
        <f t="shared" ref="G65:G81" si="8">H65/720</f>
        <v>0.2955416666666667</v>
      </c>
      <c r="H65" s="493">
        <f t="shared" ref="H65:H85" si="9">D65*IAAS_vcpu_SUNET+E65*IAAS_ram_SUNET+F65*IAAS_ssd_SUNET</f>
        <v>212.79000000000002</v>
      </c>
      <c r="I65" s="219"/>
      <c r="J65" s="219"/>
      <c r="K65" s="219"/>
      <c r="L65" s="251" t="s">
        <v>18</v>
      </c>
      <c r="M65" s="220">
        <f t="shared" ref="M65:M81" si="10">ROUNDUP(I65*H65,2)</f>
        <v>0</v>
      </c>
      <c r="N65" s="220">
        <f t="shared" ref="N65:N85" si="11">J65*D65*SW_win.ser.201X_SEK+K65*D65*SW_ms.sql.ser_SEK</f>
        <v>0</v>
      </c>
      <c r="O65" s="261"/>
      <c r="P65" s="262"/>
      <c r="Q65" s="261"/>
      <c r="R65" s="261"/>
      <c r="V65" s="264"/>
      <c r="W65" s="264"/>
      <c r="X65" s="265"/>
    </row>
    <row r="66" spans="2:24" s="263" customFormat="1" ht="25">
      <c r="B66" s="518" t="s">
        <v>352</v>
      </c>
      <c r="C66" s="612" t="s">
        <v>338</v>
      </c>
      <c r="D66" s="631">
        <v>1</v>
      </c>
      <c r="E66" s="631">
        <v>2</v>
      </c>
      <c r="F66" s="104">
        <v>20</v>
      </c>
      <c r="G66" s="494">
        <f t="shared" si="8"/>
        <v>0.45441666666666669</v>
      </c>
      <c r="H66" s="492">
        <f t="shared" si="9"/>
        <v>327.18</v>
      </c>
      <c r="I66" s="219"/>
      <c r="J66" s="219"/>
      <c r="K66" s="219"/>
      <c r="L66" s="253" t="s">
        <v>18</v>
      </c>
      <c r="M66" s="225">
        <f t="shared" si="10"/>
        <v>0</v>
      </c>
      <c r="N66" s="225">
        <f t="shared" si="11"/>
        <v>0</v>
      </c>
      <c r="O66" s="261"/>
      <c r="P66" s="262"/>
      <c r="Q66" s="261"/>
      <c r="R66" s="261"/>
      <c r="V66" s="264"/>
      <c r="W66" s="264"/>
      <c r="X66" s="265"/>
    </row>
    <row r="67" spans="2:24" s="263" customFormat="1" ht="25">
      <c r="B67" s="519" t="s">
        <v>353</v>
      </c>
      <c r="C67" s="609" t="s">
        <v>338</v>
      </c>
      <c r="D67" s="630">
        <v>2</v>
      </c>
      <c r="E67" s="630">
        <v>4</v>
      </c>
      <c r="F67" s="105">
        <v>250</v>
      </c>
      <c r="G67" s="495">
        <f t="shared" si="8"/>
        <v>2.2720833333333332</v>
      </c>
      <c r="H67" s="493">
        <f t="shared" si="9"/>
        <v>1635.8999999999999</v>
      </c>
      <c r="I67" s="219"/>
      <c r="J67" s="219"/>
      <c r="K67" s="219"/>
      <c r="L67" s="251" t="s">
        <v>18</v>
      </c>
      <c r="M67" s="220">
        <f t="shared" si="10"/>
        <v>0</v>
      </c>
      <c r="N67" s="220">
        <f t="shared" si="11"/>
        <v>0</v>
      </c>
      <c r="O67" s="261"/>
      <c r="P67" s="262"/>
      <c r="Q67" s="261"/>
      <c r="R67" s="261"/>
      <c r="V67" s="264"/>
      <c r="W67" s="264"/>
      <c r="X67" s="265"/>
    </row>
    <row r="68" spans="2:24" s="263" customFormat="1" ht="25">
      <c r="B68" s="518" t="s">
        <v>321</v>
      </c>
      <c r="C68" s="612" t="s">
        <v>338</v>
      </c>
      <c r="D68" s="631">
        <v>4</v>
      </c>
      <c r="E68" s="631">
        <v>8</v>
      </c>
      <c r="F68" s="104">
        <v>250</v>
      </c>
      <c r="G68" s="494">
        <f t="shared" si="8"/>
        <v>2.9212499999999997</v>
      </c>
      <c r="H68" s="492">
        <f t="shared" si="9"/>
        <v>2103.2999999999997</v>
      </c>
      <c r="I68" s="219"/>
      <c r="J68" s="219"/>
      <c r="K68" s="219"/>
      <c r="L68" s="253" t="s">
        <v>18</v>
      </c>
      <c r="M68" s="225">
        <f t="shared" si="10"/>
        <v>0</v>
      </c>
      <c r="N68" s="225">
        <f t="shared" si="11"/>
        <v>0</v>
      </c>
      <c r="O68" s="261"/>
      <c r="P68" s="262"/>
      <c r="Q68" s="261"/>
      <c r="R68" s="261"/>
      <c r="V68" s="264"/>
      <c r="W68" s="264"/>
      <c r="X68" s="265"/>
    </row>
    <row r="69" spans="2:24" s="263" customFormat="1" ht="25">
      <c r="B69" s="519" t="s">
        <v>322</v>
      </c>
      <c r="C69" s="609" t="s">
        <v>338</v>
      </c>
      <c r="D69" s="630">
        <v>8</v>
      </c>
      <c r="E69" s="630">
        <v>16</v>
      </c>
      <c r="F69" s="105">
        <v>250</v>
      </c>
      <c r="G69" s="495">
        <f t="shared" si="8"/>
        <v>4.2195833333333335</v>
      </c>
      <c r="H69" s="493">
        <f t="shared" si="9"/>
        <v>3038.1</v>
      </c>
      <c r="I69" s="219"/>
      <c r="J69" s="219"/>
      <c r="K69" s="219"/>
      <c r="L69" s="251" t="s">
        <v>18</v>
      </c>
      <c r="M69" s="220">
        <f t="shared" si="10"/>
        <v>0</v>
      </c>
      <c r="N69" s="220">
        <f t="shared" si="11"/>
        <v>0</v>
      </c>
      <c r="O69" s="261"/>
      <c r="P69" s="262"/>
      <c r="Q69" s="261"/>
      <c r="R69" s="261"/>
      <c r="V69" s="264"/>
      <c r="W69" s="264"/>
      <c r="X69" s="265"/>
    </row>
    <row r="70" spans="2:24" s="263" customFormat="1" ht="25">
      <c r="B70" s="518" t="s">
        <v>323</v>
      </c>
      <c r="C70" s="612" t="s">
        <v>338</v>
      </c>
      <c r="D70" s="631">
        <v>16</v>
      </c>
      <c r="E70" s="631">
        <v>32</v>
      </c>
      <c r="F70" s="104">
        <v>250</v>
      </c>
      <c r="G70" s="494">
        <f t="shared" si="8"/>
        <v>6.8162500000000001</v>
      </c>
      <c r="H70" s="492">
        <f t="shared" si="9"/>
        <v>4907.7</v>
      </c>
      <c r="I70" s="219"/>
      <c r="J70" s="219"/>
      <c r="K70" s="219"/>
      <c r="L70" s="253" t="s">
        <v>18</v>
      </c>
      <c r="M70" s="225">
        <f t="shared" si="10"/>
        <v>0</v>
      </c>
      <c r="N70" s="225">
        <f t="shared" si="11"/>
        <v>0</v>
      </c>
      <c r="O70" s="261"/>
      <c r="P70" s="262"/>
      <c r="Q70" s="261"/>
      <c r="R70" s="261"/>
      <c r="V70" s="264"/>
      <c r="W70" s="264"/>
      <c r="X70" s="265"/>
    </row>
    <row r="71" spans="2:24" s="263" customFormat="1" ht="25">
      <c r="B71" s="519" t="s">
        <v>324</v>
      </c>
      <c r="C71" s="609" t="s">
        <v>338</v>
      </c>
      <c r="D71" s="630">
        <v>16</v>
      </c>
      <c r="E71" s="630">
        <v>32</v>
      </c>
      <c r="F71" s="105">
        <v>500</v>
      </c>
      <c r="G71" s="495">
        <f t="shared" si="8"/>
        <v>8.4391666666666669</v>
      </c>
      <c r="H71" s="493">
        <f t="shared" si="9"/>
        <v>6076.2</v>
      </c>
      <c r="I71" s="219"/>
      <c r="J71" s="219"/>
      <c r="K71" s="219"/>
      <c r="L71" s="251" t="s">
        <v>18</v>
      </c>
      <c r="M71" s="220">
        <f t="shared" si="10"/>
        <v>0</v>
      </c>
      <c r="N71" s="220">
        <f t="shared" si="11"/>
        <v>0</v>
      </c>
      <c r="O71" s="261"/>
      <c r="P71" s="262"/>
      <c r="Q71" s="261"/>
      <c r="R71" s="261"/>
      <c r="V71" s="264"/>
      <c r="W71" s="264"/>
      <c r="X71" s="265"/>
    </row>
    <row r="72" spans="2:24" s="263" customFormat="1" ht="25">
      <c r="B72" s="518" t="s">
        <v>325</v>
      </c>
      <c r="C72" s="612" t="s">
        <v>338</v>
      </c>
      <c r="D72" s="631">
        <v>16</v>
      </c>
      <c r="E72" s="631">
        <v>32</v>
      </c>
      <c r="F72" s="104">
        <v>1000</v>
      </c>
      <c r="G72" s="494">
        <f t="shared" si="8"/>
        <v>11.684999999999999</v>
      </c>
      <c r="H72" s="492">
        <f t="shared" si="9"/>
        <v>8413.1999999999989</v>
      </c>
      <c r="I72" s="219"/>
      <c r="J72" s="219"/>
      <c r="K72" s="219"/>
      <c r="L72" s="253" t="s">
        <v>18</v>
      </c>
      <c r="M72" s="225">
        <f t="shared" si="10"/>
        <v>0</v>
      </c>
      <c r="N72" s="225">
        <f t="shared" si="11"/>
        <v>0</v>
      </c>
      <c r="O72" s="261"/>
      <c r="P72" s="262"/>
      <c r="Q72" s="261"/>
      <c r="R72" s="261"/>
      <c r="V72" s="264"/>
      <c r="W72" s="264"/>
      <c r="X72" s="265"/>
    </row>
    <row r="73" spans="2:24" s="263" customFormat="1" ht="25">
      <c r="B73" s="519" t="s">
        <v>326</v>
      </c>
      <c r="C73" s="609" t="s">
        <v>338</v>
      </c>
      <c r="D73" s="630">
        <v>32</v>
      </c>
      <c r="E73" s="630">
        <v>65</v>
      </c>
      <c r="F73" s="105">
        <v>250</v>
      </c>
      <c r="G73" s="495">
        <f t="shared" si="8"/>
        <v>12.103541666666665</v>
      </c>
      <c r="H73" s="493">
        <f t="shared" si="9"/>
        <v>8714.5499999999993</v>
      </c>
      <c r="I73" s="219"/>
      <c r="J73" s="219"/>
      <c r="K73" s="219"/>
      <c r="L73" s="251" t="s">
        <v>18</v>
      </c>
      <c r="M73" s="220">
        <f t="shared" si="10"/>
        <v>0</v>
      </c>
      <c r="N73" s="220">
        <f t="shared" si="11"/>
        <v>0</v>
      </c>
      <c r="O73" s="261"/>
      <c r="P73" s="262"/>
      <c r="Q73" s="261"/>
      <c r="R73" s="261"/>
      <c r="V73" s="264"/>
      <c r="W73" s="264"/>
      <c r="X73" s="265"/>
    </row>
    <row r="74" spans="2:24" s="263" customFormat="1" ht="25">
      <c r="B74" s="518" t="s">
        <v>327</v>
      </c>
      <c r="C74" s="612" t="s">
        <v>338</v>
      </c>
      <c r="D74" s="631">
        <v>32</v>
      </c>
      <c r="E74" s="631">
        <v>65</v>
      </c>
      <c r="F74" s="104">
        <v>500</v>
      </c>
      <c r="G74" s="494">
        <f t="shared" si="8"/>
        <v>13.726458333333332</v>
      </c>
      <c r="H74" s="492">
        <f t="shared" si="9"/>
        <v>9883.0499999999993</v>
      </c>
      <c r="I74" s="219"/>
      <c r="J74" s="219"/>
      <c r="K74" s="219"/>
      <c r="L74" s="253" t="s">
        <v>18</v>
      </c>
      <c r="M74" s="225">
        <f t="shared" si="10"/>
        <v>0</v>
      </c>
      <c r="N74" s="225">
        <f t="shared" si="11"/>
        <v>0</v>
      </c>
      <c r="O74" s="261"/>
      <c r="P74" s="262"/>
      <c r="Q74" s="261"/>
      <c r="R74" s="261"/>
      <c r="V74" s="264"/>
      <c r="W74" s="264"/>
      <c r="X74" s="265"/>
    </row>
    <row r="75" spans="2:24" s="263" customFormat="1" ht="25">
      <c r="B75" s="519" t="s">
        <v>328</v>
      </c>
      <c r="C75" s="609" t="s">
        <v>338</v>
      </c>
      <c r="D75" s="630">
        <v>32</v>
      </c>
      <c r="E75" s="630">
        <v>65</v>
      </c>
      <c r="F75" s="105">
        <v>1000</v>
      </c>
      <c r="G75" s="495">
        <f t="shared" si="8"/>
        <v>16.972291666666667</v>
      </c>
      <c r="H75" s="493">
        <f t="shared" si="9"/>
        <v>12220.05</v>
      </c>
      <c r="I75" s="219"/>
      <c r="J75" s="219"/>
      <c r="K75" s="219"/>
      <c r="L75" s="251" t="s">
        <v>18</v>
      </c>
      <c r="M75" s="220">
        <f t="shared" si="10"/>
        <v>0</v>
      </c>
      <c r="N75" s="220">
        <f t="shared" si="11"/>
        <v>0</v>
      </c>
      <c r="O75" s="261"/>
      <c r="P75" s="262"/>
      <c r="Q75" s="261"/>
      <c r="R75" s="261"/>
      <c r="V75" s="264"/>
      <c r="W75" s="264"/>
      <c r="X75" s="265"/>
    </row>
    <row r="76" spans="2:24" s="263" customFormat="1" ht="25">
      <c r="B76" s="518" t="s">
        <v>354</v>
      </c>
      <c r="C76" s="612" t="s">
        <v>338</v>
      </c>
      <c r="D76" s="631">
        <v>1</v>
      </c>
      <c r="E76" s="631">
        <v>4</v>
      </c>
      <c r="F76" s="104">
        <v>20</v>
      </c>
      <c r="G76" s="494">
        <f t="shared" si="8"/>
        <v>0.64233333333333331</v>
      </c>
      <c r="H76" s="492">
        <f t="shared" si="9"/>
        <v>462.48</v>
      </c>
      <c r="I76" s="219"/>
      <c r="J76" s="219"/>
      <c r="K76" s="219"/>
      <c r="L76" s="253" t="s">
        <v>18</v>
      </c>
      <c r="M76" s="225">
        <f t="shared" si="10"/>
        <v>0</v>
      </c>
      <c r="N76" s="225">
        <f t="shared" si="11"/>
        <v>0</v>
      </c>
      <c r="O76" s="261"/>
      <c r="P76" s="262"/>
      <c r="Q76" s="261"/>
      <c r="R76" s="261"/>
      <c r="V76" s="264"/>
      <c r="W76" s="264"/>
      <c r="X76" s="265"/>
    </row>
    <row r="77" spans="2:24" s="263" customFormat="1" ht="25">
      <c r="B77" s="519" t="s">
        <v>355</v>
      </c>
      <c r="C77" s="609" t="s">
        <v>338</v>
      </c>
      <c r="D77" s="630">
        <v>2</v>
      </c>
      <c r="E77" s="630">
        <v>8</v>
      </c>
      <c r="F77" s="105">
        <v>250</v>
      </c>
      <c r="G77" s="495">
        <f t="shared" si="8"/>
        <v>2.6479166666666663</v>
      </c>
      <c r="H77" s="493">
        <f t="shared" si="9"/>
        <v>1906.4999999999998</v>
      </c>
      <c r="I77" s="219"/>
      <c r="J77" s="219"/>
      <c r="K77" s="219"/>
      <c r="L77" s="251" t="s">
        <v>18</v>
      </c>
      <c r="M77" s="220">
        <f t="shared" si="10"/>
        <v>0</v>
      </c>
      <c r="N77" s="220">
        <f t="shared" si="11"/>
        <v>0</v>
      </c>
      <c r="O77" s="261"/>
      <c r="P77" s="262"/>
      <c r="Q77" s="261"/>
      <c r="R77" s="261"/>
      <c r="V77" s="264"/>
      <c r="W77" s="264"/>
      <c r="X77" s="265"/>
    </row>
    <row r="78" spans="2:24" s="263" customFormat="1" ht="25">
      <c r="B78" s="518" t="s">
        <v>335</v>
      </c>
      <c r="C78" s="612" t="s">
        <v>338</v>
      </c>
      <c r="D78" s="631">
        <v>4</v>
      </c>
      <c r="E78" s="631">
        <v>16</v>
      </c>
      <c r="F78" s="104">
        <v>250</v>
      </c>
      <c r="G78" s="494">
        <f t="shared" si="8"/>
        <v>3.6729166666666666</v>
      </c>
      <c r="H78" s="492">
        <f t="shared" si="9"/>
        <v>2644.5</v>
      </c>
      <c r="I78" s="219"/>
      <c r="J78" s="219"/>
      <c r="K78" s="219"/>
      <c r="L78" s="253" t="s">
        <v>18</v>
      </c>
      <c r="M78" s="225">
        <f t="shared" si="10"/>
        <v>0</v>
      </c>
      <c r="N78" s="225">
        <f t="shared" si="11"/>
        <v>0</v>
      </c>
      <c r="O78" s="261"/>
      <c r="P78" s="262"/>
      <c r="Q78" s="261"/>
      <c r="R78" s="261"/>
      <c r="V78" s="264"/>
      <c r="W78" s="264"/>
      <c r="X78" s="265"/>
    </row>
    <row r="79" spans="2:24" s="263" customFormat="1" ht="25">
      <c r="B79" s="519" t="s">
        <v>336</v>
      </c>
      <c r="C79" s="609" t="s">
        <v>338</v>
      </c>
      <c r="D79" s="630">
        <v>8</v>
      </c>
      <c r="E79" s="630">
        <v>32</v>
      </c>
      <c r="F79" s="105">
        <v>250</v>
      </c>
      <c r="G79" s="495">
        <f t="shared" si="8"/>
        <v>5.7229166666666664</v>
      </c>
      <c r="H79" s="493">
        <f t="shared" si="9"/>
        <v>4120.5</v>
      </c>
      <c r="I79" s="219"/>
      <c r="J79" s="219"/>
      <c r="K79" s="219"/>
      <c r="L79" s="251" t="s">
        <v>18</v>
      </c>
      <c r="M79" s="220">
        <f t="shared" si="10"/>
        <v>0</v>
      </c>
      <c r="N79" s="220">
        <f t="shared" si="11"/>
        <v>0</v>
      </c>
      <c r="O79" s="261"/>
      <c r="P79" s="262"/>
      <c r="Q79" s="261"/>
      <c r="R79" s="261"/>
      <c r="V79" s="264"/>
      <c r="W79" s="264"/>
      <c r="X79" s="265"/>
    </row>
    <row r="80" spans="2:24" s="263" customFormat="1" ht="25">
      <c r="B80" s="518" t="s">
        <v>329</v>
      </c>
      <c r="C80" s="612" t="s">
        <v>338</v>
      </c>
      <c r="D80" s="631">
        <v>16</v>
      </c>
      <c r="E80" s="631">
        <v>65</v>
      </c>
      <c r="F80" s="104">
        <v>250</v>
      </c>
      <c r="G80" s="494">
        <f t="shared" si="8"/>
        <v>9.9168749999999992</v>
      </c>
      <c r="H80" s="492">
        <f t="shared" si="9"/>
        <v>7140.15</v>
      </c>
      <c r="I80" s="219"/>
      <c r="J80" s="219"/>
      <c r="K80" s="219"/>
      <c r="L80" s="253" t="s">
        <v>18</v>
      </c>
      <c r="M80" s="225">
        <f t="shared" si="10"/>
        <v>0</v>
      </c>
      <c r="N80" s="225">
        <f t="shared" si="11"/>
        <v>0</v>
      </c>
      <c r="O80" s="261"/>
      <c r="P80" s="262"/>
      <c r="Q80" s="261"/>
      <c r="R80" s="261"/>
      <c r="V80" s="264"/>
      <c r="W80" s="264"/>
      <c r="X80" s="265"/>
    </row>
    <row r="81" spans="2:24" s="263" customFormat="1" ht="25">
      <c r="B81" s="519" t="s">
        <v>330</v>
      </c>
      <c r="C81" s="609" t="s">
        <v>338</v>
      </c>
      <c r="D81" s="630">
        <v>16</v>
      </c>
      <c r="E81" s="630">
        <v>65</v>
      </c>
      <c r="F81" s="105">
        <v>500</v>
      </c>
      <c r="G81" s="495">
        <f t="shared" si="8"/>
        <v>11.539791666666666</v>
      </c>
      <c r="H81" s="493">
        <f t="shared" si="9"/>
        <v>8308.65</v>
      </c>
      <c r="I81" s="219"/>
      <c r="J81" s="219"/>
      <c r="K81" s="219"/>
      <c r="L81" s="251" t="s">
        <v>18</v>
      </c>
      <c r="M81" s="220">
        <f t="shared" si="10"/>
        <v>0</v>
      </c>
      <c r="N81" s="220">
        <f t="shared" si="11"/>
        <v>0</v>
      </c>
      <c r="O81" s="261"/>
      <c r="P81" s="262"/>
      <c r="Q81" s="261"/>
      <c r="R81" s="261"/>
      <c r="V81" s="264"/>
      <c r="W81" s="264"/>
      <c r="X81" s="265"/>
    </row>
    <row r="82" spans="2:24" s="263" customFormat="1" ht="25">
      <c r="B82" s="518" t="s">
        <v>331</v>
      </c>
      <c r="C82" s="612" t="s">
        <v>338</v>
      </c>
      <c r="D82" s="631">
        <v>16</v>
      </c>
      <c r="E82" s="631">
        <v>65</v>
      </c>
      <c r="F82" s="104">
        <v>1000</v>
      </c>
      <c r="G82" s="494">
        <f>H82/720</f>
        <v>14.785624999999998</v>
      </c>
      <c r="H82" s="492">
        <f t="shared" si="9"/>
        <v>10645.649999999998</v>
      </c>
      <c r="I82" s="219"/>
      <c r="J82" s="219"/>
      <c r="K82" s="219"/>
      <c r="L82" s="253" t="s">
        <v>18</v>
      </c>
      <c r="M82" s="225">
        <f t="shared" ref="M82:M85" si="12">ROUNDUP(I82*H82,2)</f>
        <v>0</v>
      </c>
      <c r="N82" s="225">
        <f t="shared" si="11"/>
        <v>0</v>
      </c>
      <c r="O82" s="261"/>
      <c r="P82" s="262"/>
      <c r="Q82" s="261"/>
      <c r="R82" s="261"/>
      <c r="V82" s="264"/>
      <c r="W82" s="264"/>
      <c r="X82" s="265"/>
    </row>
    <row r="83" spans="2:24" s="263" customFormat="1" ht="25">
      <c r="B83" s="519" t="s">
        <v>332</v>
      </c>
      <c r="C83" s="609" t="s">
        <v>338</v>
      </c>
      <c r="D83" s="630">
        <v>32</v>
      </c>
      <c r="E83" s="630">
        <v>131</v>
      </c>
      <c r="F83" s="105">
        <v>250</v>
      </c>
      <c r="G83" s="495">
        <f t="shared" ref="G83:G85" si="13">H83/720</f>
        <v>18.304791666666667</v>
      </c>
      <c r="H83" s="493">
        <f t="shared" si="9"/>
        <v>13179.45</v>
      </c>
      <c r="I83" s="219"/>
      <c r="J83" s="219"/>
      <c r="K83" s="219"/>
      <c r="L83" s="251" t="s">
        <v>18</v>
      </c>
      <c r="M83" s="220">
        <f t="shared" si="12"/>
        <v>0</v>
      </c>
      <c r="N83" s="220">
        <f t="shared" si="11"/>
        <v>0</v>
      </c>
      <c r="O83" s="261"/>
      <c r="P83" s="262"/>
      <c r="Q83" s="261"/>
      <c r="R83" s="261"/>
      <c r="V83" s="264"/>
      <c r="W83" s="264"/>
      <c r="X83" s="265"/>
    </row>
    <row r="84" spans="2:24" s="263" customFormat="1" ht="25">
      <c r="B84" s="518" t="s">
        <v>333</v>
      </c>
      <c r="C84" s="612" t="s">
        <v>338</v>
      </c>
      <c r="D84" s="631">
        <v>32</v>
      </c>
      <c r="E84" s="631">
        <v>131</v>
      </c>
      <c r="F84" s="104">
        <v>500</v>
      </c>
      <c r="G84" s="494">
        <f t="shared" si="13"/>
        <v>19.927708333333335</v>
      </c>
      <c r="H84" s="492">
        <f t="shared" si="9"/>
        <v>14347.95</v>
      </c>
      <c r="I84" s="219"/>
      <c r="J84" s="219"/>
      <c r="K84" s="219"/>
      <c r="L84" s="253" t="s">
        <v>18</v>
      </c>
      <c r="M84" s="225">
        <f t="shared" si="12"/>
        <v>0</v>
      </c>
      <c r="N84" s="225">
        <f t="shared" si="11"/>
        <v>0</v>
      </c>
      <c r="O84" s="261"/>
      <c r="P84" s="262"/>
      <c r="Q84" s="261"/>
      <c r="R84" s="261"/>
      <c r="V84" s="264"/>
      <c r="W84" s="264"/>
      <c r="X84" s="265"/>
    </row>
    <row r="85" spans="2:24" s="263" customFormat="1" ht="25">
      <c r="B85" s="519" t="s">
        <v>334</v>
      </c>
      <c r="C85" s="609" t="s">
        <v>338</v>
      </c>
      <c r="D85" s="630">
        <v>32</v>
      </c>
      <c r="E85" s="630">
        <v>131</v>
      </c>
      <c r="F85" s="105">
        <v>1000</v>
      </c>
      <c r="G85" s="495">
        <f t="shared" si="13"/>
        <v>23.173541666666669</v>
      </c>
      <c r="H85" s="493">
        <f t="shared" si="9"/>
        <v>16684.95</v>
      </c>
      <c r="I85" s="219"/>
      <c r="J85" s="219"/>
      <c r="K85" s="219"/>
      <c r="L85" s="251" t="s">
        <v>18</v>
      </c>
      <c r="M85" s="220">
        <f t="shared" si="12"/>
        <v>0</v>
      </c>
      <c r="N85" s="220">
        <f t="shared" si="11"/>
        <v>0</v>
      </c>
      <c r="O85" s="261"/>
      <c r="P85" s="262"/>
      <c r="Q85" s="261"/>
      <c r="R85" s="261"/>
      <c r="V85" s="264"/>
      <c r="W85" s="264"/>
      <c r="X85" s="265"/>
    </row>
    <row r="86" spans="2:24" s="270" customFormat="1" ht="25.5" customHeight="1">
      <c r="B86" s="516" t="s">
        <v>55</v>
      </c>
      <c r="C86" s="607"/>
      <c r="D86" s="89"/>
      <c r="E86" s="89"/>
      <c r="F86" s="227"/>
      <c r="G86" s="228"/>
      <c r="H86" s="229"/>
      <c r="I86" s="163" t="str">
        <f>SUM(I65:I85)&amp;" st"</f>
        <v>0 st</v>
      </c>
      <c r="J86" s="163" t="str">
        <f>SUM(J65:J85)&amp;" st"</f>
        <v>0 st</v>
      </c>
      <c r="K86" s="163" t="str">
        <f>SUM(K65:K85)&amp;" st"</f>
        <v>0 st</v>
      </c>
      <c r="L86" s="164"/>
      <c r="M86" s="90">
        <f>SUM(M65:M85)</f>
        <v>0</v>
      </c>
      <c r="N86" s="90">
        <f>SUM(N65:N85)</f>
        <v>0</v>
      </c>
      <c r="O86" s="51"/>
      <c r="P86" s="266"/>
      <c r="Q86" s="267"/>
      <c r="R86" s="267"/>
      <c r="S86" s="267"/>
      <c r="T86" s="267"/>
      <c r="U86" s="268"/>
      <c r="V86" s="267"/>
      <c r="W86" s="269"/>
    </row>
    <row r="87" spans="2:24" s="193" customFormat="1" ht="25.5" customHeight="1">
      <c r="B87" s="517"/>
      <c r="C87" s="613"/>
      <c r="D87" s="22"/>
      <c r="E87" s="21"/>
      <c r="F87" s="271"/>
      <c r="G87" s="271"/>
      <c r="H87" s="203"/>
      <c r="I87" s="203"/>
      <c r="J87" s="203"/>
      <c r="K87" s="272"/>
      <c r="L87" s="203"/>
      <c r="M87" s="273"/>
      <c r="N87" s="273"/>
      <c r="P87" s="221"/>
      <c r="U87" s="202"/>
      <c r="W87" s="202"/>
    </row>
    <row r="88" spans="2:24" s="193" customFormat="1" ht="25.5" customHeight="1">
      <c r="B88" s="517"/>
      <c r="C88" s="613"/>
      <c r="D88" s="22"/>
      <c r="E88" s="21"/>
      <c r="F88" s="271"/>
      <c r="G88" s="271"/>
      <c r="H88" s="203"/>
      <c r="I88" s="203"/>
      <c r="J88" s="203"/>
      <c r="K88" s="272"/>
      <c r="L88" s="203"/>
      <c r="M88" s="273"/>
      <c r="N88" s="273"/>
      <c r="P88" s="221"/>
      <c r="U88" s="202"/>
      <c r="W88" s="202"/>
    </row>
    <row r="89" spans="2:24" s="239" customFormat="1" ht="31">
      <c r="B89" s="475" t="s">
        <v>65</v>
      </c>
      <c r="C89" s="24"/>
      <c r="D89" s="24"/>
      <c r="E89" s="24"/>
      <c r="F89" s="274"/>
      <c r="G89" s="274"/>
      <c r="H89" s="203"/>
      <c r="I89" s="203"/>
      <c r="J89" s="203"/>
      <c r="K89" s="272"/>
      <c r="L89" s="203"/>
      <c r="M89" s="273"/>
      <c r="N89" s="273"/>
      <c r="P89" s="240"/>
      <c r="Q89" s="203"/>
      <c r="R89" s="203"/>
      <c r="S89" s="203"/>
      <c r="T89" s="203"/>
      <c r="U89" s="241"/>
      <c r="V89" s="203"/>
      <c r="W89" s="242"/>
    </row>
    <row r="90" spans="2:24" s="263" customFormat="1" ht="47">
      <c r="B90" s="513" t="s">
        <v>79</v>
      </c>
      <c r="C90" s="14" t="s">
        <v>70</v>
      </c>
      <c r="D90" s="14" t="s">
        <v>9</v>
      </c>
      <c r="E90" s="14" t="s">
        <v>109</v>
      </c>
      <c r="F90" s="275"/>
      <c r="G90" s="209" t="s">
        <v>11</v>
      </c>
      <c r="H90" s="209" t="s">
        <v>12</v>
      </c>
      <c r="I90" s="276" t="s">
        <v>13</v>
      </c>
      <c r="J90" s="276" t="s">
        <v>14</v>
      </c>
      <c r="K90" s="276" t="s">
        <v>15</v>
      </c>
      <c r="L90" s="211"/>
      <c r="M90" s="209" t="s">
        <v>16</v>
      </c>
      <c r="N90" s="209" t="s">
        <v>17</v>
      </c>
      <c r="O90" s="261"/>
      <c r="P90" s="262"/>
      <c r="Q90" s="261"/>
      <c r="R90" s="261"/>
      <c r="V90" s="264"/>
      <c r="W90" s="264"/>
      <c r="X90" s="265"/>
    </row>
    <row r="91" spans="2:24" s="193" customFormat="1" ht="25.5" customHeight="1">
      <c r="B91" s="142" t="s">
        <v>66</v>
      </c>
      <c r="C91" s="622">
        <v>16</v>
      </c>
      <c r="D91" s="622">
        <v>128</v>
      </c>
      <c r="E91" s="623">
        <v>3800</v>
      </c>
      <c r="F91" s="277"/>
      <c r="G91" s="249">
        <f t="shared" ref="G91:G93" si="14">H91/720</f>
        <v>9.5</v>
      </c>
      <c r="H91" s="250">
        <f>INSTANCE_p1.2xlarge.16d_SEK</f>
        <v>6840</v>
      </c>
      <c r="I91" s="219">
        <v>0</v>
      </c>
      <c r="J91" s="219">
        <v>0</v>
      </c>
      <c r="K91" s="219">
        <v>0</v>
      </c>
      <c r="L91" s="216" t="s">
        <v>18</v>
      </c>
      <c r="M91" s="220">
        <f t="shared" ref="M91:M93" si="15">ROUNDUP(I91*H91,2)</f>
        <v>0</v>
      </c>
      <c r="N91" s="220">
        <f>J91*C91*SW_win.ser.201X_SEK+K91*C91*SW_ms.sql.ser_SEK</f>
        <v>0</v>
      </c>
      <c r="O91" s="203"/>
      <c r="P91" s="221"/>
    </row>
    <row r="92" spans="2:24" s="193" customFormat="1" ht="25.5" customHeight="1">
      <c r="B92" s="523" t="s">
        <v>67</v>
      </c>
      <c r="C92" s="624">
        <v>32</v>
      </c>
      <c r="D92" s="624">
        <v>256</v>
      </c>
      <c r="E92" s="625">
        <v>3800</v>
      </c>
      <c r="F92" s="278"/>
      <c r="G92" s="245">
        <f t="shared" si="14"/>
        <v>19</v>
      </c>
      <c r="H92" s="246">
        <f>INSTANCE_p1.4xlarge.16d_SEK</f>
        <v>13680</v>
      </c>
      <c r="I92" s="219">
        <v>0</v>
      </c>
      <c r="J92" s="219">
        <v>0</v>
      </c>
      <c r="K92" s="219">
        <v>0</v>
      </c>
      <c r="L92" s="222" t="str">
        <f t="shared" ref="L92" si="16">L91</f>
        <v>Instanser</v>
      </c>
      <c r="M92" s="225">
        <f t="shared" si="15"/>
        <v>0</v>
      </c>
      <c r="N92" s="225">
        <f>J92*C92*SW_win.ser.201X_SEK+K92*C92*SW_ms.sql.ser_SEK</f>
        <v>0</v>
      </c>
      <c r="O92" s="203"/>
      <c r="P92" s="221"/>
      <c r="X92" s="202"/>
    </row>
    <row r="93" spans="2:24" s="267" customFormat="1" ht="25.5" customHeight="1">
      <c r="B93" s="524" t="s">
        <v>68</v>
      </c>
      <c r="C93" s="626">
        <v>64</v>
      </c>
      <c r="D93" s="626">
        <v>512</v>
      </c>
      <c r="E93" s="627">
        <v>7600</v>
      </c>
      <c r="F93" s="279"/>
      <c r="G93" s="280">
        <f t="shared" si="14"/>
        <v>38</v>
      </c>
      <c r="H93" s="281">
        <f>INSTANCE_p1.8xlarge.32d_SEK</f>
        <v>27360</v>
      </c>
      <c r="I93" s="219">
        <v>0</v>
      </c>
      <c r="J93" s="219">
        <v>0</v>
      </c>
      <c r="K93" s="219">
        <v>0</v>
      </c>
      <c r="L93" s="216" t="s">
        <v>18</v>
      </c>
      <c r="M93" s="220">
        <f t="shared" si="15"/>
        <v>0</v>
      </c>
      <c r="N93" s="220">
        <f>J93*C93*SW_win.ser.201X_SEK+K93*C93*SW_ms.sql.ser_SEK</f>
        <v>0</v>
      </c>
      <c r="O93" s="282"/>
      <c r="P93" s="283"/>
    </row>
    <row r="94" spans="2:24" ht="25.5" customHeight="1">
      <c r="B94" s="517" t="s">
        <v>20</v>
      </c>
      <c r="C94" s="608"/>
      <c r="D94" s="21"/>
      <c r="E94" s="21"/>
      <c r="F94" s="267"/>
      <c r="G94" s="267"/>
      <c r="H94" s="267"/>
      <c r="I94" s="163" t="str">
        <f>SUM(I91:I93)&amp;" st"</f>
        <v>0 st</v>
      </c>
      <c r="J94" s="163" t="str">
        <f>SUM(J91:J93)&amp;" st"</f>
        <v>0 st</v>
      </c>
      <c r="K94" s="163" t="str">
        <f>SUM(K91:K93)&amp;" st"</f>
        <v>0 st</v>
      </c>
      <c r="L94" s="164"/>
      <c r="M94" s="90">
        <f>SUM(M91:M93)</f>
        <v>0</v>
      </c>
      <c r="N94" s="91">
        <f>SUM(N91:N93)</f>
        <v>0</v>
      </c>
      <c r="O94" s="204"/>
      <c r="P94" s="207"/>
    </row>
    <row r="95" spans="2:24" ht="25.5" customHeight="1">
      <c r="B95" s="525"/>
      <c r="C95" s="614"/>
      <c r="D95" s="78"/>
      <c r="E95" s="78"/>
      <c r="F95" s="284"/>
      <c r="G95" s="284"/>
      <c r="H95" s="267"/>
      <c r="I95" s="285"/>
      <c r="J95" s="285"/>
      <c r="K95" s="285"/>
      <c r="L95" s="234"/>
      <c r="M95" s="50"/>
      <c r="N95" s="51"/>
      <c r="O95" s="204"/>
      <c r="P95" s="207"/>
    </row>
    <row r="96" spans="2:24" s="193" customFormat="1" ht="25.5" customHeight="1">
      <c r="B96" s="526"/>
      <c r="C96" s="613"/>
      <c r="D96" s="22"/>
      <c r="E96" s="22"/>
      <c r="F96" s="271"/>
      <c r="G96" s="271"/>
      <c r="H96" s="203"/>
      <c r="I96" s="203"/>
      <c r="J96" s="203"/>
      <c r="K96" s="272"/>
      <c r="L96" s="203"/>
      <c r="M96" s="273"/>
      <c r="N96" s="273"/>
      <c r="P96" s="221"/>
      <c r="U96" s="202"/>
      <c r="W96" s="202"/>
    </row>
    <row r="97" spans="2:25" ht="25.5" customHeight="1">
      <c r="B97" s="475" t="s">
        <v>21</v>
      </c>
      <c r="C97" s="24"/>
      <c r="D97" s="24"/>
      <c r="E97" s="24"/>
      <c r="F97" s="274"/>
      <c r="G97" s="274"/>
      <c r="H97" s="203"/>
      <c r="I97" s="203"/>
      <c r="J97" s="203"/>
      <c r="K97" s="272"/>
      <c r="L97" s="203"/>
      <c r="M97" s="273"/>
      <c r="N97" s="273"/>
      <c r="O97" s="204"/>
      <c r="P97" s="207"/>
      <c r="Q97" s="193"/>
      <c r="R97" s="193"/>
      <c r="S97" s="193"/>
      <c r="T97" s="193"/>
      <c r="U97" s="202"/>
      <c r="V97" s="193"/>
      <c r="W97" s="230"/>
    </row>
    <row r="98" spans="2:25" s="291" customFormat="1" ht="35.25" customHeight="1">
      <c r="B98" s="513" t="s">
        <v>79</v>
      </c>
      <c r="C98" s="26" t="s">
        <v>185</v>
      </c>
      <c r="D98" s="26"/>
      <c r="E98" s="139" t="s">
        <v>11</v>
      </c>
      <c r="F98" s="657" t="s">
        <v>23</v>
      </c>
      <c r="G98" s="657"/>
      <c r="H98" s="658"/>
      <c r="I98" s="658"/>
      <c r="J98" s="288" t="s">
        <v>24</v>
      </c>
      <c r="K98" s="286"/>
      <c r="L98" s="286"/>
      <c r="M98" s="286"/>
      <c r="N98" s="562"/>
      <c r="O98" s="215"/>
      <c r="P98" s="290"/>
      <c r="R98" s="215"/>
      <c r="S98" s="215"/>
      <c r="W98" s="292"/>
      <c r="X98" s="292"/>
      <c r="Y98" s="293"/>
    </row>
    <row r="99" spans="2:25" s="193" customFormat="1" ht="25.5" customHeight="1">
      <c r="B99" s="142" t="s">
        <v>181</v>
      </c>
      <c r="C99" s="41" t="s">
        <v>182</v>
      </c>
      <c r="D99" s="80"/>
      <c r="E99" s="628">
        <f>F99/720</f>
        <v>1.6666666666666666E-3</v>
      </c>
      <c r="F99" s="708">
        <f>VOLUME_large_SEK</f>
        <v>1.2</v>
      </c>
      <c r="G99" s="708"/>
      <c r="H99" s="653"/>
      <c r="I99" s="653"/>
      <c r="J99" s="294">
        <v>260</v>
      </c>
      <c r="K99" s="550" t="s">
        <v>26</v>
      </c>
      <c r="L99" s="295"/>
      <c r="M99" s="296"/>
      <c r="N99" s="297">
        <f>ROUNDUP(J99*F99,2)</f>
        <v>312</v>
      </c>
      <c r="O99" s="203"/>
      <c r="P99" s="221"/>
    </row>
    <row r="100" spans="2:25" s="193" customFormat="1" ht="25.5" customHeight="1">
      <c r="B100" s="523" t="s">
        <v>180</v>
      </c>
      <c r="C100" s="43" t="s">
        <v>183</v>
      </c>
      <c r="D100" s="81"/>
      <c r="E100" s="629">
        <f>F100/720</f>
        <v>5.0000000000000001E-3</v>
      </c>
      <c r="F100" s="709">
        <f>VOLUME_fast_SEK</f>
        <v>3.6</v>
      </c>
      <c r="G100" s="709"/>
      <c r="H100" s="662"/>
      <c r="I100" s="662"/>
      <c r="J100" s="298">
        <v>0</v>
      </c>
      <c r="K100" s="551" t="s">
        <v>26</v>
      </c>
      <c r="L100" s="299"/>
      <c r="M100" s="300"/>
      <c r="N100" s="301">
        <f>ROUNDUP(J100*F100,2)</f>
        <v>0</v>
      </c>
      <c r="O100" s="203"/>
      <c r="P100" s="221"/>
      <c r="Y100" s="202"/>
    </row>
    <row r="101" spans="2:25" ht="25.5" customHeight="1">
      <c r="B101" s="516" t="s">
        <v>303</v>
      </c>
      <c r="C101" s="607"/>
      <c r="D101" s="89"/>
      <c r="E101" s="89"/>
      <c r="F101" s="228"/>
      <c r="G101" s="229"/>
      <c r="H101" s="229"/>
      <c r="I101" s="302"/>
      <c r="J101" s="303" t="str">
        <f>SUM(J99:J100)&amp;" GB"</f>
        <v>260 GB</v>
      </c>
      <c r="K101" s="304"/>
      <c r="L101" s="229"/>
      <c r="M101" s="229"/>
      <c r="N101" s="91">
        <f>SUM(N99:N100)</f>
        <v>312</v>
      </c>
      <c r="O101" s="204"/>
      <c r="P101" s="207"/>
    </row>
    <row r="102" spans="2:25" ht="25.5" customHeight="1">
      <c r="B102" s="77"/>
      <c r="C102" s="614"/>
      <c r="D102" s="78"/>
      <c r="E102" s="78"/>
      <c r="F102" s="284"/>
      <c r="G102" s="284"/>
      <c r="H102" s="305"/>
      <c r="I102" s="305"/>
      <c r="J102" s="305"/>
      <c r="K102" s="306"/>
      <c r="L102" s="307"/>
      <c r="M102" s="308"/>
      <c r="N102" s="308"/>
      <c r="O102" s="204"/>
      <c r="P102" s="207"/>
    </row>
    <row r="103" spans="2:25" ht="25.5" customHeight="1">
      <c r="B103" s="77"/>
      <c r="C103" s="614"/>
      <c r="D103" s="78"/>
      <c r="E103" s="78"/>
      <c r="F103" s="284"/>
      <c r="G103" s="284"/>
      <c r="H103" s="305"/>
      <c r="I103" s="305"/>
      <c r="J103" s="305"/>
      <c r="K103" s="306"/>
      <c r="L103" s="307"/>
      <c r="M103" s="308"/>
      <c r="N103" s="308"/>
      <c r="O103" s="204"/>
      <c r="P103" s="207"/>
    </row>
    <row r="104" spans="2:25" s="188" customFormat="1" ht="25.5" customHeight="1">
      <c r="B104" s="77"/>
      <c r="C104" s="614"/>
      <c r="D104" s="78"/>
      <c r="E104" s="78"/>
      <c r="F104" s="284"/>
      <c r="G104" s="284"/>
      <c r="H104" s="305"/>
      <c r="I104" s="305"/>
      <c r="J104" s="305"/>
      <c r="K104" s="306"/>
      <c r="L104" s="307"/>
      <c r="M104" s="308"/>
      <c r="N104" s="308"/>
      <c r="P104" s="192"/>
    </row>
    <row r="105" spans="2:25" s="188" customFormat="1" ht="25.5" customHeight="1">
      <c r="B105" s="655" t="s">
        <v>346</v>
      </c>
      <c r="C105" s="655"/>
      <c r="D105" s="655"/>
      <c r="E105" s="655"/>
      <c r="F105" s="655"/>
      <c r="G105" s="655"/>
      <c r="H105" s="189"/>
      <c r="J105" s="190"/>
      <c r="K105" s="190"/>
      <c r="M105" s="191"/>
      <c r="N105" s="191"/>
      <c r="P105" s="192"/>
    </row>
    <row r="106" spans="2:25" s="188" customFormat="1" ht="25.5" customHeight="1">
      <c r="B106" s="655"/>
      <c r="C106" s="655"/>
      <c r="D106" s="655"/>
      <c r="E106" s="655"/>
      <c r="F106" s="655"/>
      <c r="G106" s="655"/>
      <c r="H106" s="189"/>
      <c r="J106" s="190"/>
      <c r="K106" s="190"/>
      <c r="M106" s="191"/>
      <c r="N106" s="191"/>
      <c r="P106" s="192"/>
    </row>
    <row r="107" spans="2:25" s="188" customFormat="1" ht="25.5" customHeight="1">
      <c r="B107" s="655"/>
      <c r="C107" s="655"/>
      <c r="D107" s="655"/>
      <c r="E107" s="655"/>
      <c r="F107" s="655"/>
      <c r="G107" s="655"/>
      <c r="H107" s="189"/>
      <c r="J107" s="190"/>
      <c r="K107" s="190"/>
      <c r="M107" s="191"/>
      <c r="N107" s="191"/>
      <c r="P107" s="192"/>
    </row>
    <row r="108" spans="2:25" s="188" customFormat="1" ht="25.5" customHeight="1">
      <c r="B108" s="663" t="s">
        <v>195</v>
      </c>
      <c r="C108" s="663"/>
      <c r="D108" s="663"/>
      <c r="E108" s="663"/>
      <c r="F108" s="663"/>
      <c r="H108" s="189"/>
      <c r="J108" s="190"/>
      <c r="K108" s="190"/>
      <c r="M108" s="191"/>
      <c r="N108" s="191"/>
      <c r="O108" s="195"/>
      <c r="P108" s="200"/>
    </row>
    <row r="109" spans="2:25" s="315" customFormat="1" ht="25.5" customHeight="1">
      <c r="B109" s="664" t="s">
        <v>347</v>
      </c>
      <c r="C109" s="664"/>
      <c r="D109" s="664"/>
      <c r="E109" s="664"/>
      <c r="F109" s="664"/>
      <c r="G109" s="309"/>
      <c r="H109" s="310"/>
      <c r="I109" s="309"/>
      <c r="J109" s="311"/>
      <c r="K109" s="312"/>
      <c r="L109" s="309"/>
      <c r="M109" s="313"/>
      <c r="N109" s="313"/>
      <c r="O109" s="309"/>
      <c r="P109" s="314"/>
    </row>
    <row r="110" spans="2:25" s="188" customFormat="1" ht="25.5" customHeight="1">
      <c r="B110" s="8" t="s">
        <v>6</v>
      </c>
      <c r="C110" s="602"/>
      <c r="D110" s="76"/>
      <c r="E110" s="76"/>
      <c r="F110" s="568"/>
      <c r="G110" s="195"/>
      <c r="H110" s="196"/>
      <c r="I110" s="195"/>
      <c r="J110" s="197"/>
      <c r="K110" s="198"/>
      <c r="L110" s="198"/>
      <c r="M110" s="195"/>
      <c r="N110" s="199"/>
      <c r="O110" s="199"/>
      <c r="P110" s="221"/>
      <c r="R110" s="193"/>
      <c r="S110" s="193"/>
    </row>
    <row r="111" spans="2:25" s="188" customFormat="1" ht="25.5" customHeight="1">
      <c r="B111" s="6"/>
      <c r="C111" s="6"/>
      <c r="D111" s="6"/>
      <c r="E111" s="6"/>
      <c r="F111" s="568"/>
      <c r="G111" s="195"/>
      <c r="H111" s="196"/>
      <c r="I111" s="195"/>
      <c r="J111" s="197"/>
      <c r="K111" s="198"/>
      <c r="L111" s="198"/>
      <c r="M111" s="195"/>
      <c r="N111" s="199"/>
      <c r="O111" s="199"/>
      <c r="P111" s="221"/>
      <c r="R111" s="193"/>
      <c r="S111" s="193"/>
    </row>
    <row r="112" spans="2:25" s="188" customFormat="1" ht="25.5" customHeight="1">
      <c r="B112" s="513" t="s">
        <v>79</v>
      </c>
      <c r="C112" s="604" t="s">
        <v>72</v>
      </c>
      <c r="D112" s="657" t="s">
        <v>343</v>
      </c>
      <c r="E112" s="657"/>
      <c r="F112" s="657"/>
      <c r="G112" s="657"/>
      <c r="H112" s="657"/>
      <c r="I112" s="657"/>
      <c r="J112" s="657"/>
      <c r="K112" s="657"/>
      <c r="L112" s="562"/>
      <c r="M112" s="286"/>
      <c r="N112" s="286"/>
      <c r="O112" s="199"/>
      <c r="P112" s="221"/>
      <c r="R112" s="193"/>
      <c r="S112" s="193"/>
    </row>
    <row r="113" spans="2:24" s="188" customFormat="1" ht="25.5" customHeight="1">
      <c r="B113" s="514" t="s">
        <v>75</v>
      </c>
      <c r="C113" s="605" t="s">
        <v>341</v>
      </c>
      <c r="D113" s="716">
        <f>S3_storage.50_SUNET</f>
        <v>0.35</v>
      </c>
      <c r="E113" s="716"/>
      <c r="F113" s="660"/>
      <c r="G113" s="660"/>
      <c r="H113" s="660"/>
      <c r="I113" s="660"/>
      <c r="J113" s="660"/>
      <c r="K113" s="660"/>
      <c r="L113" s="565"/>
      <c r="M113" s="317"/>
      <c r="N113" s="317"/>
      <c r="O113" s="199"/>
      <c r="P113" s="221"/>
      <c r="R113" s="193"/>
      <c r="S113" s="193"/>
    </row>
    <row r="114" spans="2:24" s="188" customFormat="1" ht="25.5" customHeight="1">
      <c r="B114" s="515" t="s">
        <v>75</v>
      </c>
      <c r="C114" s="606" t="s">
        <v>342</v>
      </c>
      <c r="D114" s="715">
        <f>S3_storage.100_SUNET</f>
        <v>0.19</v>
      </c>
      <c r="E114" s="715"/>
      <c r="F114" s="668"/>
      <c r="G114" s="668"/>
      <c r="H114" s="668"/>
      <c r="I114" s="668"/>
      <c r="J114" s="668"/>
      <c r="K114" s="668"/>
      <c r="L114" s="564"/>
      <c r="M114" s="319"/>
      <c r="N114" s="319"/>
      <c r="O114" s="199"/>
      <c r="P114" s="221"/>
      <c r="R114" s="193"/>
      <c r="S114" s="193"/>
    </row>
    <row r="115" spans="2:24" s="188" customFormat="1" ht="25.5" customHeight="1">
      <c r="B115" s="514" t="s">
        <v>75</v>
      </c>
      <c r="C115" s="605" t="s">
        <v>344</v>
      </c>
      <c r="D115" s="714">
        <f>S3_storage.500_SUNET</f>
        <v>0.1</v>
      </c>
      <c r="E115" s="714"/>
      <c r="F115" s="666"/>
      <c r="G115" s="666"/>
      <c r="H115" s="666"/>
      <c r="I115" s="666"/>
      <c r="J115" s="666"/>
      <c r="K115" s="666"/>
      <c r="L115" s="566"/>
      <c r="M115" s="321"/>
      <c r="N115" s="321"/>
      <c r="O115" s="199"/>
      <c r="P115" s="221"/>
      <c r="R115" s="193"/>
      <c r="S115" s="193"/>
    </row>
    <row r="116" spans="2:24" s="188" customFormat="1" ht="25.5" customHeight="1">
      <c r="B116" s="515" t="s">
        <v>75</v>
      </c>
      <c r="C116" s="606" t="s">
        <v>345</v>
      </c>
      <c r="D116" s="715">
        <f>S3_storage.1000_SUNET</f>
        <v>0.06</v>
      </c>
      <c r="E116" s="715"/>
      <c r="F116" s="668"/>
      <c r="G116" s="668"/>
      <c r="H116" s="668"/>
      <c r="I116" s="668"/>
      <c r="J116" s="668"/>
      <c r="K116" s="668"/>
      <c r="L116" s="564"/>
      <c r="M116" s="319"/>
      <c r="N116" s="319"/>
      <c r="O116" s="199"/>
      <c r="P116" s="221"/>
      <c r="R116" s="193"/>
      <c r="S116" s="193"/>
    </row>
    <row r="117" spans="2:24" s="188" customFormat="1" ht="25.5" customHeight="1">
      <c r="B117" s="514" t="s">
        <v>75</v>
      </c>
      <c r="C117" s="605" t="s">
        <v>120</v>
      </c>
      <c r="D117" s="713">
        <f>S3_storage.quote_SUNET</f>
        <v>0</v>
      </c>
      <c r="E117" s="713"/>
      <c r="F117" s="669"/>
      <c r="G117" s="669"/>
      <c r="H117" s="669"/>
      <c r="I117" s="669"/>
      <c r="J117" s="669"/>
      <c r="K117" s="669"/>
      <c r="L117" s="567"/>
      <c r="M117" s="323"/>
      <c r="N117" s="323"/>
      <c r="O117" s="199"/>
      <c r="P117" s="221"/>
      <c r="R117" s="193"/>
      <c r="S117" s="193"/>
    </row>
    <row r="118" spans="2:24" s="188" customFormat="1" ht="25.5" customHeight="1">
      <c r="B118" s="541"/>
      <c r="C118" s="615"/>
      <c r="D118" s="106"/>
      <c r="E118" s="106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221"/>
      <c r="R118" s="193"/>
      <c r="S118" s="193"/>
    </row>
    <row r="119" spans="2:24" s="263" customFormat="1" ht="25.5" customHeight="1">
      <c r="B119" s="542"/>
      <c r="C119" s="603"/>
      <c r="D119" s="141"/>
      <c r="E119" s="141"/>
      <c r="F119" s="568"/>
      <c r="G119" s="195"/>
      <c r="H119" s="196"/>
      <c r="I119" s="195"/>
      <c r="J119" s="197"/>
      <c r="K119" s="198"/>
      <c r="L119" s="198"/>
      <c r="M119" s="195"/>
      <c r="N119" s="199"/>
      <c r="O119" s="199"/>
      <c r="P119" s="324"/>
      <c r="R119" s="291"/>
      <c r="S119" s="291"/>
      <c r="T119" s="291"/>
      <c r="U119" s="291"/>
      <c r="V119" s="291"/>
      <c r="W119" s="291"/>
      <c r="X119" s="291"/>
    </row>
    <row r="120" spans="2:24" ht="25.5" customHeight="1">
      <c r="B120" s="513" t="s">
        <v>79</v>
      </c>
      <c r="C120" s="26"/>
      <c r="D120" s="26"/>
      <c r="E120" s="139" t="s">
        <v>11</v>
      </c>
      <c r="F120" s="657" t="s">
        <v>23</v>
      </c>
      <c r="G120" s="657"/>
      <c r="H120" s="288" t="s">
        <v>72</v>
      </c>
      <c r="I120" s="286"/>
      <c r="J120" s="286"/>
      <c r="K120" s="26" t="s">
        <v>348</v>
      </c>
      <c r="L120" s="286"/>
      <c r="M120" s="286"/>
      <c r="N120" s="562" t="s">
        <v>31</v>
      </c>
      <c r="O120" s="325"/>
      <c r="P120" s="221"/>
      <c r="R120" s="193"/>
      <c r="S120" s="193"/>
    </row>
    <row r="121" spans="2:24" s="270" customFormat="1" ht="25.5" customHeight="1">
      <c r="B121" s="543" t="s">
        <v>75</v>
      </c>
      <c r="C121" s="84"/>
      <c r="D121" s="84"/>
      <c r="E121" s="27">
        <f>F121/720</f>
        <v>4.861111111111111E-4</v>
      </c>
      <c r="F121" s="705" cm="1">
        <f t="array" ref="F121">_xlfn.IFS(H121&lt;=299,D113,H121&lt;1000,D114,H121&lt;2000,D115,H121&gt;=2000,D116)</f>
        <v>0.35</v>
      </c>
      <c r="G121" s="706"/>
      <c r="H121" s="326">
        <v>0</v>
      </c>
      <c r="I121" s="552" t="s">
        <v>73</v>
      </c>
      <c r="J121" s="328"/>
      <c r="K121" s="328" t="str" cm="1">
        <f t="array" ref="K121">_xlfn.IFS(H121&lt;=299,"6 månader",H121&lt;1000,"12 månader",H121&lt;2000,"12 månader",H121&gt;=2000,"36 månader")</f>
        <v>6 månader</v>
      </c>
      <c r="L121" s="328"/>
      <c r="M121" s="717">
        <f>ROUNDUP((H121*1000)*F121,2)</f>
        <v>0</v>
      </c>
      <c r="N121" s="717"/>
      <c r="O121" s="325"/>
      <c r="P121" s="283"/>
      <c r="R121" s="267"/>
      <c r="S121" s="267"/>
    </row>
    <row r="122" spans="2:24" ht="25.5" customHeight="1">
      <c r="B122" s="20" t="s">
        <v>20</v>
      </c>
      <c r="C122" s="608"/>
      <c r="D122" s="21"/>
      <c r="E122" s="21"/>
      <c r="F122" s="232"/>
      <c r="G122" s="233"/>
      <c r="H122" s="233"/>
      <c r="I122" s="233"/>
      <c r="J122" s="233"/>
      <c r="K122" s="331"/>
      <c r="L122" s="331"/>
      <c r="M122" s="718">
        <f>SUM(M121)</f>
        <v>0</v>
      </c>
      <c r="N122" s="718"/>
      <c r="O122" s="325"/>
      <c r="P122" s="221"/>
      <c r="R122" s="193"/>
      <c r="S122" s="193"/>
    </row>
    <row r="123" spans="2:24" ht="25.5" customHeight="1">
      <c r="B123" s="28"/>
      <c r="C123" s="616"/>
      <c r="D123" s="28"/>
      <c r="E123" s="28"/>
      <c r="F123" s="333"/>
      <c r="G123" s="334"/>
      <c r="H123" s="305"/>
      <c r="I123" s="305"/>
      <c r="J123" s="305"/>
      <c r="K123" s="335"/>
      <c r="L123" s="335"/>
      <c r="M123" s="308"/>
      <c r="N123" s="308"/>
      <c r="O123" s="325"/>
      <c r="P123" s="221"/>
      <c r="R123" s="193"/>
      <c r="S123" s="193"/>
    </row>
    <row r="124" spans="2:24" ht="25.5" customHeight="1">
      <c r="B124" s="28"/>
      <c r="C124" s="616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  <c r="V124" s="188"/>
    </row>
    <row r="125" spans="2:24" s="188" customFormat="1" ht="25.5" customHeight="1">
      <c r="B125" s="28"/>
      <c r="C125" s="616"/>
      <c r="D125" s="28"/>
      <c r="E125" s="28"/>
      <c r="F125" s="333"/>
      <c r="G125" s="334"/>
      <c r="H125" s="305"/>
      <c r="I125" s="305"/>
      <c r="J125" s="305"/>
      <c r="K125" s="335"/>
      <c r="L125" s="335"/>
      <c r="M125" s="308"/>
      <c r="N125" s="308"/>
      <c r="O125" s="308"/>
      <c r="P125" s="192"/>
    </row>
    <row r="126" spans="2:24" s="188" customFormat="1" ht="25.5" customHeight="1">
      <c r="B126" s="655" t="s">
        <v>32</v>
      </c>
      <c r="C126" s="655"/>
      <c r="D126" s="655"/>
      <c r="E126" s="655"/>
      <c r="F126" s="655"/>
      <c r="G126" s="655"/>
      <c r="H126" s="189"/>
      <c r="J126" s="190"/>
      <c r="K126" s="190"/>
      <c r="L126" s="190"/>
      <c r="N126" s="191"/>
      <c r="O126" s="191"/>
      <c r="P126" s="192"/>
    </row>
    <row r="127" spans="2:24" s="188" customFormat="1" ht="25.5" customHeight="1">
      <c r="B127" s="655"/>
      <c r="C127" s="655"/>
      <c r="D127" s="655"/>
      <c r="E127" s="655"/>
      <c r="F127" s="655"/>
      <c r="G127" s="655"/>
      <c r="H127" s="189"/>
      <c r="J127" s="190"/>
      <c r="K127" s="190"/>
      <c r="L127" s="190"/>
      <c r="N127" s="191"/>
      <c r="O127" s="191"/>
      <c r="P127" s="192"/>
    </row>
    <row r="128" spans="2:24" s="188" customFormat="1" ht="25.5" customHeight="1">
      <c r="B128" s="655"/>
      <c r="C128" s="655"/>
      <c r="D128" s="655"/>
      <c r="E128" s="655"/>
      <c r="F128" s="655"/>
      <c r="G128" s="655"/>
      <c r="H128" s="189"/>
      <c r="J128" s="190"/>
      <c r="K128" s="190"/>
      <c r="L128" s="190"/>
      <c r="N128" s="191"/>
      <c r="O128" s="191"/>
      <c r="P128" s="192"/>
    </row>
    <row r="129" spans="1:35" s="188" customFormat="1" ht="25.5" customHeight="1">
      <c r="B129" s="672" t="s">
        <v>299</v>
      </c>
      <c r="C129" s="672"/>
      <c r="D129" s="672"/>
      <c r="E129" s="672"/>
      <c r="F129" s="672"/>
      <c r="H129" s="189"/>
      <c r="J129" s="190"/>
      <c r="K129" s="190"/>
      <c r="L129" s="190"/>
      <c r="N129" s="191"/>
      <c r="O129" s="191"/>
      <c r="P129" s="200"/>
    </row>
    <row r="130" spans="1:35" s="188" customFormat="1" ht="25.5" customHeight="1">
      <c r="B130" s="674" t="s">
        <v>28</v>
      </c>
      <c r="C130" s="674"/>
      <c r="D130" s="674"/>
      <c r="E130" s="674"/>
      <c r="F130" s="674"/>
      <c r="G130" s="195"/>
      <c r="H130" s="196"/>
      <c r="I130" s="195"/>
      <c r="J130" s="197"/>
      <c r="K130" s="198"/>
      <c r="L130" s="198"/>
      <c r="M130" s="195"/>
      <c r="N130" s="199"/>
      <c r="O130" s="199"/>
      <c r="P130" s="200"/>
    </row>
    <row r="131" spans="1:35" s="203" customFormat="1" ht="25.5" customHeight="1">
      <c r="B131" s="8" t="s">
        <v>33</v>
      </c>
      <c r="C131" s="602"/>
      <c r="D131" s="76"/>
      <c r="E131" s="76"/>
      <c r="F131" s="568"/>
      <c r="G131" s="195"/>
      <c r="H131" s="196"/>
      <c r="I131" s="195"/>
      <c r="J131" s="197"/>
      <c r="K131" s="198"/>
      <c r="L131" s="198"/>
      <c r="M131" s="188"/>
      <c r="N131" s="199"/>
      <c r="O131" s="199"/>
      <c r="P131" s="221"/>
      <c r="R131" s="193"/>
      <c r="S131" s="193"/>
      <c r="T131" s="193"/>
      <c r="U131" s="193"/>
      <c r="V131" s="193"/>
      <c r="W131" s="193"/>
      <c r="X131" s="193"/>
      <c r="AA131" s="204"/>
      <c r="AB131" s="204"/>
      <c r="AC131" s="204"/>
    </row>
    <row r="132" spans="1:35" s="263" customFormat="1" ht="25.5" customHeight="1">
      <c r="A132" s="336"/>
      <c r="B132" s="29"/>
      <c r="C132" s="9"/>
      <c r="D132" s="9"/>
      <c r="E132" s="9"/>
      <c r="F132" s="203"/>
      <c r="G132" s="203"/>
      <c r="H132" s="203"/>
      <c r="I132" s="203"/>
      <c r="J132" s="203"/>
      <c r="K132" s="203"/>
      <c r="L132" s="203"/>
      <c r="M132" s="169"/>
      <c r="N132" s="273"/>
      <c r="O132" s="273"/>
      <c r="P132" s="324"/>
      <c r="S132" s="291"/>
      <c r="T132" s="291"/>
      <c r="U132" s="291"/>
      <c r="V132" s="291"/>
      <c r="W132" s="291"/>
      <c r="X132" s="291"/>
    </row>
    <row r="133" spans="1:35" ht="25">
      <c r="A133" s="337"/>
      <c r="B133" s="513" t="s">
        <v>79</v>
      </c>
      <c r="C133" s="657" t="s">
        <v>34</v>
      </c>
      <c r="D133" s="657"/>
      <c r="E133" s="139" t="s">
        <v>11</v>
      </c>
      <c r="F133" s="657" t="s">
        <v>23</v>
      </c>
      <c r="G133" s="657"/>
      <c r="H133" s="288" t="s">
        <v>30</v>
      </c>
      <c r="I133" s="286"/>
      <c r="J133" s="658" t="s">
        <v>35</v>
      </c>
      <c r="K133" s="658"/>
      <c r="L133" s="563"/>
      <c r="M133" s="286"/>
      <c r="N133" s="562" t="s">
        <v>36</v>
      </c>
      <c r="O133" s="273"/>
      <c r="P133" s="207"/>
    </row>
    <row r="134" spans="1:35" ht="25.5" customHeight="1">
      <c r="A134" s="337"/>
      <c r="B134" s="569" t="s">
        <v>106</v>
      </c>
      <c r="C134" s="556"/>
      <c r="D134" s="31" t="s">
        <v>25</v>
      </c>
      <c r="E134" s="31" t="s">
        <v>25</v>
      </c>
      <c r="F134" s="698">
        <f>BAAS_on.demand_SEK</f>
        <v>2.4500000000000002</v>
      </c>
      <c r="G134" s="699"/>
      <c r="H134" s="338">
        <v>0</v>
      </c>
      <c r="I134" s="550" t="s">
        <v>26</v>
      </c>
      <c r="J134" s="678" t="s">
        <v>25</v>
      </c>
      <c r="K134" s="678"/>
      <c r="L134" s="339"/>
      <c r="M134" s="295"/>
      <c r="N134" s="297">
        <f>ROUNDUP(H134*F134,2)</f>
        <v>0</v>
      </c>
      <c r="O134" s="273"/>
      <c r="P134" s="207"/>
    </row>
    <row r="135" spans="1:35" ht="25.5" customHeight="1">
      <c r="A135" s="337"/>
      <c r="B135" s="570" t="s">
        <v>107</v>
      </c>
      <c r="C135" s="558"/>
      <c r="D135" s="33">
        <v>5500</v>
      </c>
      <c r="E135" s="34" t="s">
        <v>25</v>
      </c>
      <c r="F135" s="701">
        <f>BAAS_small_SEK</f>
        <v>1.75</v>
      </c>
      <c r="G135" s="702"/>
      <c r="H135" s="340">
        <v>0</v>
      </c>
      <c r="I135" s="551" t="s">
        <v>26</v>
      </c>
      <c r="J135" s="682">
        <v>0.75</v>
      </c>
      <c r="K135" s="683"/>
      <c r="L135" s="299"/>
      <c r="M135" s="299"/>
      <c r="N135" s="301">
        <f>IF(H135&gt;0,IF(SUM($D$135+($F$135*((H135*(1-$J$135))-1000)))&lt;=D135,$D$135,$D$135+($F$135*((H135*(1-$J$135))-1000))),0)</f>
        <v>0</v>
      </c>
      <c r="O135" s="273"/>
      <c r="P135" s="207"/>
    </row>
    <row r="136" spans="1:35" s="344" customFormat="1" ht="25.5" customHeight="1">
      <c r="A136" s="341"/>
      <c r="B136" s="571" t="s">
        <v>108</v>
      </c>
      <c r="C136" s="557"/>
      <c r="D136" s="35">
        <v>9500</v>
      </c>
      <c r="E136" s="37" t="s">
        <v>25</v>
      </c>
      <c r="F136" s="703">
        <f>BAAS_large_SEK</f>
        <v>0.92</v>
      </c>
      <c r="G136" s="704"/>
      <c r="H136" s="326">
        <v>0</v>
      </c>
      <c r="I136" s="552" t="s">
        <v>26</v>
      </c>
      <c r="J136" s="687">
        <v>0.75</v>
      </c>
      <c r="K136" s="688"/>
      <c r="L136" s="327"/>
      <c r="M136" s="327"/>
      <c r="N136" s="330">
        <f>IF(H136&gt;0,$D$136+($F$136*(H136*(1-$J$136))),0)</f>
        <v>0</v>
      </c>
      <c r="O136" s="273"/>
      <c r="P136" s="343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</row>
    <row r="137" spans="1:35" s="344" customFormat="1" ht="25.5" customHeight="1">
      <c r="A137" s="341"/>
      <c r="B137" s="20" t="s">
        <v>20</v>
      </c>
      <c r="C137" s="608"/>
      <c r="D137" s="21"/>
      <c r="E137" s="21"/>
      <c r="F137" s="232"/>
      <c r="G137" s="233"/>
      <c r="H137" s="303" t="str">
        <f>SUM(H134:H136)&amp;" GB"</f>
        <v>0 GB</v>
      </c>
      <c r="I137" s="233"/>
      <c r="J137" s="233"/>
      <c r="K137" s="331"/>
      <c r="L137" s="331"/>
      <c r="N137" s="91">
        <f>SUM(N134:N136)</f>
        <v>0</v>
      </c>
      <c r="O137" s="273"/>
      <c r="P137" s="343"/>
      <c r="R137" s="345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</row>
    <row r="138" spans="1:35" s="344" customFormat="1" ht="25.5" customHeight="1">
      <c r="A138" s="341"/>
      <c r="B138" s="20"/>
      <c r="C138" s="608"/>
      <c r="D138" s="21"/>
      <c r="E138" s="21"/>
      <c r="F138" s="232"/>
      <c r="G138" s="233"/>
      <c r="H138" s="233"/>
      <c r="I138" s="233"/>
      <c r="J138" s="233"/>
      <c r="K138" s="331"/>
      <c r="L138" s="331"/>
      <c r="M138" s="50"/>
      <c r="N138" s="50"/>
      <c r="O138" s="273"/>
      <c r="P138" s="343"/>
      <c r="R138" s="345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</row>
    <row r="139" spans="1:35" s="344" customFormat="1" ht="25.5" customHeight="1">
      <c r="A139" s="341"/>
      <c r="B139" s="30" t="s">
        <v>37</v>
      </c>
      <c r="C139" s="608"/>
      <c r="D139" s="21"/>
      <c r="E139" s="21"/>
      <c r="F139" s="232"/>
      <c r="G139" s="233"/>
      <c r="H139" s="233"/>
      <c r="I139" s="233"/>
      <c r="J139" s="233"/>
      <c r="K139" s="331"/>
      <c r="L139" s="331"/>
      <c r="M139" s="50"/>
      <c r="N139" s="50"/>
      <c r="O139" s="50"/>
      <c r="P139" s="343"/>
      <c r="R139" s="345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</row>
    <row r="140" spans="1:35" ht="25.5" customHeight="1">
      <c r="B140" s="30" t="s">
        <v>38</v>
      </c>
      <c r="C140" s="608"/>
      <c r="D140" s="21"/>
      <c r="E140" s="21"/>
      <c r="F140" s="232"/>
      <c r="G140" s="233"/>
      <c r="H140" s="233"/>
      <c r="I140" s="233"/>
      <c r="J140" s="233"/>
      <c r="K140" s="331"/>
      <c r="L140" s="331"/>
      <c r="M140" s="50"/>
      <c r="N140" s="50"/>
      <c r="O140" s="50"/>
      <c r="P140" s="221"/>
      <c r="R140" s="193"/>
      <c r="S140" s="193"/>
    </row>
    <row r="141" spans="1:35" ht="25.5" customHeight="1">
      <c r="B141" s="30" t="s">
        <v>39</v>
      </c>
      <c r="C141" s="616"/>
      <c r="D141" s="28"/>
      <c r="E141" s="28"/>
      <c r="F141" s="333"/>
      <c r="G141" s="334"/>
      <c r="H141" s="305"/>
      <c r="I141" s="305"/>
      <c r="J141" s="305"/>
      <c r="K141" s="335"/>
      <c r="L141" s="335"/>
      <c r="M141" s="308"/>
      <c r="N141" s="308"/>
      <c r="O141" s="308"/>
      <c r="P141" s="221"/>
      <c r="R141" s="193"/>
      <c r="S141" s="193"/>
    </row>
    <row r="142" spans="1:35" ht="25.5" customHeight="1">
      <c r="B142" s="30" t="s">
        <v>40</v>
      </c>
      <c r="C142" s="616"/>
      <c r="D142" s="28"/>
      <c r="E142" s="28"/>
      <c r="F142" s="333"/>
      <c r="G142" s="334"/>
      <c r="H142" s="305"/>
      <c r="I142" s="305"/>
      <c r="J142" s="305"/>
      <c r="K142" s="335"/>
      <c r="L142" s="308"/>
      <c r="M142" s="308"/>
      <c r="N142" s="308"/>
      <c r="O142" s="203"/>
      <c r="P142" s="221"/>
      <c r="Q142" s="193"/>
      <c r="R142" s="193"/>
    </row>
    <row r="143" spans="1:35" ht="25.5" customHeight="1">
      <c r="B143" s="30"/>
      <c r="C143" s="616"/>
      <c r="D143" s="28"/>
      <c r="E143" s="28"/>
      <c r="F143" s="333"/>
      <c r="G143" s="334"/>
      <c r="H143" s="305"/>
      <c r="I143" s="305"/>
      <c r="J143" s="305"/>
      <c r="K143" s="335"/>
      <c r="L143" s="308"/>
      <c r="M143" s="308"/>
      <c r="N143" s="308"/>
      <c r="O143" s="203"/>
      <c r="P143" s="221"/>
      <c r="Q143" s="193"/>
      <c r="R143" s="193"/>
    </row>
    <row r="144" spans="1:35" ht="25.5" customHeight="1">
      <c r="B144" s="30"/>
      <c r="C144" s="616"/>
      <c r="D144" s="28"/>
      <c r="E144" s="28"/>
      <c r="F144" s="333"/>
      <c r="G144" s="334"/>
      <c r="H144" s="305"/>
      <c r="I144" s="305"/>
      <c r="J144" s="305"/>
      <c r="K144" s="335"/>
      <c r="L144" s="308"/>
      <c r="M144" s="308"/>
      <c r="N144" s="308"/>
      <c r="O144" s="203"/>
      <c r="P144" s="221"/>
      <c r="Q144" s="193"/>
      <c r="R144" s="193"/>
    </row>
    <row r="145" spans="1:23" ht="25.5" customHeight="1">
      <c r="B145" s="30"/>
      <c r="C145" s="616"/>
      <c r="D145" s="28"/>
      <c r="E145" s="28"/>
      <c r="F145" s="333"/>
      <c r="G145" s="334"/>
      <c r="H145" s="305"/>
      <c r="I145" s="305"/>
      <c r="J145" s="305"/>
      <c r="K145" s="335"/>
      <c r="L145" s="308"/>
      <c r="M145" s="308"/>
      <c r="N145" s="308"/>
      <c r="O145" s="203"/>
      <c r="P145" s="221"/>
      <c r="Q145" s="193"/>
      <c r="R145" s="193"/>
    </row>
    <row r="146" spans="1:23" ht="25.5" customHeight="1">
      <c r="A146" s="379"/>
      <c r="B146" s="68"/>
      <c r="C146" s="617"/>
      <c r="D146" s="62"/>
      <c r="E146" s="62"/>
      <c r="F146" s="380"/>
      <c r="G146" s="381"/>
      <c r="H146" s="382"/>
      <c r="I146" s="382"/>
      <c r="J146" s="382"/>
      <c r="K146" s="383"/>
      <c r="L146" s="384"/>
      <c r="M146" s="384"/>
      <c r="N146" s="384"/>
      <c r="O146" s="385"/>
      <c r="P146" s="221"/>
      <c r="Q146" s="193"/>
      <c r="R146" s="193"/>
    </row>
    <row r="147" spans="1:23" s="188" customFormat="1" ht="25.5" customHeight="1">
      <c r="A147" s="170"/>
      <c r="B147" s="56"/>
      <c r="C147" s="618"/>
      <c r="D147" s="56"/>
      <c r="E147" s="56"/>
      <c r="F147" s="386"/>
      <c r="G147" s="387"/>
      <c r="H147" s="388"/>
      <c r="I147" s="388"/>
      <c r="J147" s="388"/>
      <c r="K147" s="389"/>
      <c r="L147" s="390"/>
      <c r="M147" s="390"/>
      <c r="N147" s="390"/>
      <c r="O147" s="170"/>
      <c r="P147" s="192"/>
    </row>
    <row r="148" spans="1:23" s="188" customFormat="1" ht="25.5" customHeight="1">
      <c r="A148" s="170"/>
      <c r="B148" s="56"/>
      <c r="C148" s="618"/>
      <c r="D148" s="56"/>
      <c r="E148" s="56"/>
      <c r="F148" s="386"/>
      <c r="G148" s="387"/>
      <c r="H148" s="388"/>
      <c r="I148" s="388"/>
      <c r="J148" s="388"/>
      <c r="K148" s="389"/>
      <c r="L148" s="390"/>
      <c r="M148" s="390"/>
      <c r="N148" s="390"/>
      <c r="O148" s="170"/>
      <c r="P148" s="192"/>
    </row>
    <row r="149" spans="1:23" s="188" customFormat="1" ht="25.5" customHeight="1">
      <c r="A149" s="170"/>
      <c r="B149" s="56"/>
      <c r="C149" s="618"/>
      <c r="D149" s="56"/>
      <c r="E149" s="56"/>
      <c r="F149" s="386"/>
      <c r="G149" s="387"/>
      <c r="H149" s="388"/>
      <c r="I149" s="388"/>
      <c r="J149" s="388"/>
      <c r="K149" s="389"/>
      <c r="L149" s="390"/>
      <c r="M149" s="390"/>
      <c r="N149" s="390"/>
      <c r="O149" s="170"/>
      <c r="P149" s="192"/>
    </row>
    <row r="150" spans="1:23" s="188" customFormat="1" ht="25.5" customHeight="1">
      <c r="A150" s="170"/>
      <c r="B150" s="692" t="s">
        <v>42</v>
      </c>
      <c r="C150" s="692"/>
      <c r="D150" s="692"/>
      <c r="E150" s="692"/>
      <c r="F150" s="692"/>
      <c r="G150" s="692"/>
      <c r="H150" s="173"/>
      <c r="I150" s="170"/>
      <c r="J150" s="174"/>
      <c r="K150" s="174"/>
      <c r="L150" s="170"/>
      <c r="M150" s="175"/>
      <c r="N150" s="175"/>
      <c r="O150" s="170"/>
      <c r="P150" s="192"/>
    </row>
    <row r="151" spans="1:23" s="188" customFormat="1" ht="25.5" customHeight="1">
      <c r="A151" s="170"/>
      <c r="B151" s="692"/>
      <c r="C151" s="692"/>
      <c r="D151" s="692"/>
      <c r="E151" s="692"/>
      <c r="F151" s="692"/>
      <c r="G151" s="692"/>
      <c r="H151" s="173"/>
      <c r="I151" s="170"/>
      <c r="J151" s="174"/>
      <c r="K151" s="174"/>
      <c r="L151" s="170"/>
      <c r="M151" s="175"/>
      <c r="N151" s="175"/>
      <c r="O151" s="170"/>
      <c r="P151" s="192"/>
    </row>
    <row r="152" spans="1:23" s="188" customFormat="1" ht="25.5" customHeight="1">
      <c r="A152" s="170"/>
      <c r="B152" s="692"/>
      <c r="C152" s="692"/>
      <c r="D152" s="692"/>
      <c r="E152" s="692"/>
      <c r="F152" s="692"/>
      <c r="G152" s="692"/>
      <c r="H152" s="173"/>
      <c r="I152" s="170"/>
      <c r="J152" s="174"/>
      <c r="K152" s="174"/>
      <c r="L152" s="170"/>
      <c r="M152" s="175"/>
      <c r="N152" s="175"/>
      <c r="O152" s="170"/>
      <c r="P152" s="192"/>
    </row>
    <row r="153" spans="1:23" s="188" customFormat="1" ht="25.5" customHeight="1">
      <c r="A153" s="170"/>
      <c r="B153" s="707" t="s">
        <v>28</v>
      </c>
      <c r="C153" s="707"/>
      <c r="D153" s="707"/>
      <c r="E153" s="707"/>
      <c r="F153" s="707"/>
      <c r="G153" s="170"/>
      <c r="H153" s="173"/>
      <c r="I153" s="170"/>
      <c r="J153" s="174"/>
      <c r="K153" s="174"/>
      <c r="L153" s="170"/>
      <c r="M153" s="175"/>
      <c r="N153" s="175"/>
      <c r="O153" s="391"/>
      <c r="P153" s="200"/>
    </row>
    <row r="154" spans="1:23" s="188" customFormat="1" ht="25.5" customHeight="1">
      <c r="A154" s="170"/>
      <c r="B154" s="64"/>
      <c r="C154" s="3"/>
      <c r="D154" s="64"/>
      <c r="E154" s="64"/>
      <c r="F154" s="171"/>
      <c r="G154" s="170"/>
      <c r="H154" s="173"/>
      <c r="I154" s="170"/>
      <c r="J154" s="174"/>
      <c r="K154" s="174"/>
      <c r="L154" s="170"/>
      <c r="M154" s="175"/>
      <c r="N154" s="175"/>
      <c r="O154" s="391"/>
      <c r="P154" s="200"/>
    </row>
    <row r="155" spans="1:23" s="188" customFormat="1" ht="25.5" customHeight="1">
      <c r="A155" s="170"/>
      <c r="B155" s="70" t="s">
        <v>166</v>
      </c>
      <c r="C155" s="3"/>
      <c r="D155" s="64"/>
      <c r="E155" s="64"/>
      <c r="F155" s="171"/>
      <c r="G155" s="170"/>
      <c r="H155" s="173"/>
      <c r="I155" s="170"/>
      <c r="J155" s="174"/>
      <c r="K155" s="174"/>
      <c r="L155" s="170"/>
      <c r="M155" s="175"/>
      <c r="N155" s="175"/>
      <c r="O155" s="391"/>
      <c r="P155" s="200"/>
    </row>
    <row r="156" spans="1:23" s="188" customFormat="1" ht="25.5" customHeight="1">
      <c r="A156" s="170"/>
      <c r="B156" s="479" t="s">
        <v>1</v>
      </c>
      <c r="C156" s="3"/>
      <c r="D156" s="64"/>
      <c r="E156" s="64"/>
      <c r="F156" s="171"/>
      <c r="G156" s="170"/>
      <c r="H156" s="173"/>
      <c r="I156" s="170"/>
      <c r="J156" s="174"/>
      <c r="K156" s="174"/>
      <c r="L156" s="170"/>
      <c r="M156" s="175"/>
      <c r="N156" s="175"/>
      <c r="O156" s="391"/>
      <c r="P156" s="200"/>
    </row>
    <row r="157" spans="1:23" s="188" customFormat="1" ht="25.5" customHeight="1">
      <c r="A157" s="170"/>
      <c r="B157" s="71" t="s">
        <v>2</v>
      </c>
      <c r="C157" s="69"/>
      <c r="D157" s="69"/>
      <c r="E157" s="69"/>
      <c r="F157" s="392"/>
      <c r="G157" s="391"/>
      <c r="H157" s="393"/>
      <c r="I157" s="391"/>
      <c r="J157" s="394"/>
      <c r="K157" s="395"/>
      <c r="L157" s="391"/>
      <c r="M157" s="396"/>
      <c r="N157" s="396"/>
      <c r="O157" s="391"/>
      <c r="P157" s="200"/>
    </row>
    <row r="158" spans="1:23" s="263" customFormat="1" ht="25.5" customHeight="1">
      <c r="A158" s="397"/>
      <c r="B158" s="143"/>
      <c r="C158" s="69"/>
      <c r="D158" s="143"/>
      <c r="E158" s="143"/>
      <c r="F158" s="574"/>
      <c r="G158" s="391"/>
      <c r="H158" s="393"/>
      <c r="I158" s="391"/>
      <c r="J158" s="394"/>
      <c r="K158" s="395"/>
      <c r="L158" s="391"/>
      <c r="M158" s="396"/>
      <c r="N158" s="396"/>
      <c r="O158" s="397"/>
      <c r="P158" s="324"/>
      <c r="Q158" s="399"/>
      <c r="R158" s="291"/>
      <c r="S158" s="291"/>
      <c r="T158" s="291"/>
      <c r="U158" s="291"/>
      <c r="V158" s="291"/>
      <c r="W158" s="291"/>
    </row>
    <row r="159" spans="1:23" ht="25.5" customHeight="1">
      <c r="A159" s="400"/>
      <c r="B159" s="57" t="s">
        <v>41</v>
      </c>
      <c r="C159" s="58"/>
      <c r="D159" s="59"/>
      <c r="E159" s="58"/>
      <c r="F159" s="402"/>
      <c r="G159" s="402"/>
      <c r="H159" s="402"/>
      <c r="I159" s="402"/>
      <c r="J159" s="402"/>
      <c r="K159" s="401"/>
      <c r="L159" s="401"/>
      <c r="M159" s="402" t="s">
        <v>42</v>
      </c>
      <c r="N159" s="403"/>
      <c r="O159" s="404"/>
      <c r="P159" s="207"/>
      <c r="Q159" s="345"/>
    </row>
    <row r="160" spans="1:23" ht="25.5" customHeight="1">
      <c r="A160" s="400"/>
      <c r="B160" s="694" t="s">
        <v>43</v>
      </c>
      <c r="C160" s="694"/>
      <c r="D160" s="72"/>
      <c r="E160" s="73"/>
      <c r="F160" s="405"/>
      <c r="G160" s="406"/>
      <c r="H160" s="406"/>
      <c r="I160" s="406"/>
      <c r="J160" s="406"/>
      <c r="K160" s="592"/>
      <c r="L160" s="592"/>
      <c r="M160" s="406">
        <f>M86+M94+M60+M36+N101</f>
        <v>312</v>
      </c>
      <c r="N160" s="297"/>
      <c r="O160" s="400"/>
      <c r="P160" s="207"/>
      <c r="Q160" s="345"/>
    </row>
    <row r="161" spans="1:17" ht="25.5" customHeight="1">
      <c r="A161" s="400"/>
      <c r="B161" s="689" t="s">
        <v>44</v>
      </c>
      <c r="C161" s="689"/>
      <c r="D161" s="74"/>
      <c r="E161" s="75"/>
      <c r="F161" s="409"/>
      <c r="G161" s="410"/>
      <c r="H161" s="410"/>
      <c r="I161" s="410"/>
      <c r="J161" s="410"/>
      <c r="K161" s="593"/>
      <c r="L161" s="593"/>
      <c r="M161" s="410">
        <f>M122</f>
        <v>0</v>
      </c>
      <c r="N161" s="297"/>
      <c r="O161" s="400"/>
      <c r="P161" s="207"/>
      <c r="Q161" s="345"/>
    </row>
    <row r="162" spans="1:17" ht="25.5" customHeight="1">
      <c r="A162" s="400"/>
      <c r="B162" s="144" t="s">
        <v>45</v>
      </c>
      <c r="C162" s="599"/>
      <c r="D162" s="74"/>
      <c r="E162" s="75"/>
      <c r="F162" s="409"/>
      <c r="G162" s="410"/>
      <c r="H162" s="410"/>
      <c r="I162" s="410"/>
      <c r="J162" s="410"/>
      <c r="K162" s="593"/>
      <c r="L162" s="593"/>
      <c r="M162" s="410">
        <f>N137</f>
        <v>0</v>
      </c>
      <c r="N162" s="297"/>
      <c r="O162" s="400"/>
      <c r="P162" s="207"/>
      <c r="Q162" s="345"/>
    </row>
    <row r="163" spans="1:17" s="416" customFormat="1" ht="25.5" customHeight="1">
      <c r="A163" s="413"/>
      <c r="B163" s="712" t="s">
        <v>46</v>
      </c>
      <c r="C163" s="712"/>
      <c r="D163" s="35"/>
      <c r="E163" s="36"/>
      <c r="F163" s="342"/>
      <c r="G163" s="573"/>
      <c r="H163" s="573"/>
      <c r="I163" s="573"/>
      <c r="J163" s="575"/>
      <c r="K163" s="594"/>
      <c r="L163" s="594"/>
      <c r="M163" s="575">
        <f>N86+N94+N60+N36</f>
        <v>0</v>
      </c>
      <c r="N163" s="297"/>
      <c r="O163" s="413"/>
      <c r="P163" s="415"/>
    </row>
    <row r="164" spans="1:17" ht="25.5" customHeight="1">
      <c r="A164" s="400"/>
      <c r="B164" s="60" t="s">
        <v>20</v>
      </c>
      <c r="C164" s="619"/>
      <c r="D164" s="61"/>
      <c r="E164" s="61"/>
      <c r="F164" s="417"/>
      <c r="G164" s="418"/>
      <c r="H164" s="418"/>
      <c r="I164" s="418"/>
      <c r="J164" s="711">
        <f>SUM(M160:M163)</f>
        <v>312</v>
      </c>
      <c r="K164" s="711"/>
      <c r="L164" s="711"/>
      <c r="M164" s="711"/>
      <c r="N164" s="419"/>
      <c r="O164" s="400"/>
      <c r="P164" s="207"/>
    </row>
    <row r="165" spans="1:17" ht="25.5" customHeight="1">
      <c r="A165" s="400"/>
      <c r="B165" s="60"/>
      <c r="C165" s="619"/>
      <c r="D165" s="61"/>
      <c r="E165" s="61"/>
      <c r="F165" s="417"/>
      <c r="G165" s="418"/>
      <c r="H165" s="418"/>
      <c r="I165" s="418"/>
      <c r="J165" s="419"/>
      <c r="K165" s="419"/>
      <c r="L165" s="419"/>
      <c r="M165" s="419"/>
      <c r="N165" s="419"/>
      <c r="O165" s="400"/>
      <c r="P165" s="207"/>
    </row>
    <row r="166" spans="1:17" ht="25.5" customHeight="1">
      <c r="A166" s="400"/>
      <c r="B166" s="591" t="s">
        <v>349</v>
      </c>
      <c r="C166" s="599"/>
      <c r="D166" s="599"/>
      <c r="E166" s="75"/>
      <c r="F166" s="409"/>
      <c r="G166" s="410"/>
      <c r="H166" s="410"/>
      <c r="I166" s="410"/>
      <c r="J166" s="410"/>
      <c r="K166" s="411"/>
      <c r="L166" s="411"/>
      <c r="M166" s="410">
        <f>M160*0.88+M161+M162+M163</f>
        <v>274.56</v>
      </c>
      <c r="N166" s="297"/>
      <c r="O166" s="400"/>
      <c r="P166" s="207"/>
      <c r="Q166" s="345"/>
    </row>
    <row r="167" spans="1:17" ht="25.5" customHeight="1">
      <c r="A167" s="400"/>
      <c r="B167" s="591" t="s">
        <v>350</v>
      </c>
      <c r="C167" s="599"/>
      <c r="D167" s="599"/>
      <c r="E167" s="75"/>
      <c r="F167" s="409"/>
      <c r="G167" s="410"/>
      <c r="H167" s="410"/>
      <c r="I167" s="410"/>
      <c r="J167" s="410"/>
      <c r="K167" s="411"/>
      <c r="L167" s="411"/>
      <c r="M167" s="410">
        <f>M160*0.76+M161+M162+M163</f>
        <v>237.12</v>
      </c>
      <c r="N167" s="297"/>
      <c r="O167" s="400"/>
      <c r="P167" s="207"/>
      <c r="Q167" s="345"/>
    </row>
    <row r="168" spans="1:17" ht="25.5" customHeight="1">
      <c r="A168" s="400"/>
      <c r="B168" s="32"/>
      <c r="C168" s="41"/>
      <c r="D168" s="38"/>
      <c r="E168" s="39"/>
      <c r="F168" s="350"/>
      <c r="G168" s="572"/>
      <c r="H168" s="349"/>
      <c r="I168" s="295"/>
      <c r="J168" s="420"/>
      <c r="K168" s="295"/>
      <c r="L168" s="421"/>
      <c r="M168" s="297"/>
      <c r="N168" s="297"/>
      <c r="O168" s="400"/>
      <c r="P168" s="207"/>
    </row>
    <row r="169" spans="1:17" ht="25.5" customHeight="1">
      <c r="A169" s="422"/>
      <c r="B169" s="44"/>
      <c r="C169" s="620"/>
      <c r="D169" s="35"/>
      <c r="E169" s="36"/>
      <c r="F169" s="424"/>
      <c r="G169" s="573"/>
      <c r="H169" s="423"/>
      <c r="I169" s="327"/>
      <c r="J169" s="425"/>
      <c r="K169" s="327"/>
      <c r="L169" s="426"/>
      <c r="M169" s="330"/>
      <c r="N169" s="330"/>
      <c r="O169" s="427"/>
      <c r="P169" s="207"/>
    </row>
    <row r="170" spans="1:17" s="428" customFormat="1" ht="24" customHeight="1">
      <c r="B170" s="113"/>
      <c r="C170" s="621"/>
      <c r="D170" s="114"/>
      <c r="E170" s="115"/>
      <c r="F170" s="430"/>
      <c r="G170" s="431"/>
      <c r="H170" s="429"/>
      <c r="I170" s="432"/>
      <c r="J170" s="433"/>
      <c r="K170" s="432"/>
      <c r="L170" s="434"/>
      <c r="M170" s="435"/>
      <c r="N170" s="435"/>
      <c r="O170" s="436"/>
    </row>
    <row r="171" spans="1:17" s="428" customFormat="1" ht="24" customHeight="1">
      <c r="B171" s="113"/>
      <c r="C171" s="621"/>
      <c r="D171" s="113"/>
      <c r="E171" s="113"/>
      <c r="F171" s="437"/>
      <c r="G171" s="438"/>
      <c r="H171" s="439"/>
      <c r="I171" s="439"/>
      <c r="J171" s="439"/>
      <c r="K171" s="440"/>
      <c r="L171" s="435"/>
      <c r="M171" s="435"/>
      <c r="N171" s="435"/>
      <c r="O171" s="436"/>
    </row>
    <row r="172" spans="1:17" s="428" customFormat="1" ht="24" customHeight="1">
      <c r="B172" s="113"/>
      <c r="C172" s="621"/>
      <c r="D172" s="113"/>
      <c r="E172" s="113"/>
      <c r="F172" s="437"/>
      <c r="G172" s="438"/>
      <c r="H172" s="439"/>
      <c r="I172" s="439"/>
      <c r="J172" s="439"/>
      <c r="K172" s="440"/>
      <c r="L172" s="435"/>
      <c r="M172" s="435"/>
      <c r="N172" s="435"/>
      <c r="O172" s="436"/>
    </row>
    <row r="173" spans="1:17" s="428" customFormat="1" ht="24" customHeight="1">
      <c r="B173" s="113"/>
      <c r="C173" s="621"/>
      <c r="D173" s="113"/>
      <c r="E173" s="113"/>
      <c r="F173" s="437"/>
      <c r="G173" s="438"/>
      <c r="H173" s="439"/>
      <c r="I173" s="439"/>
      <c r="J173" s="439"/>
      <c r="K173" s="440"/>
      <c r="L173" s="435"/>
      <c r="M173" s="435"/>
      <c r="N173" s="435"/>
      <c r="O173" s="436"/>
    </row>
    <row r="174" spans="1:17" s="428" customFormat="1" ht="24" customHeight="1">
      <c r="B174" s="113"/>
      <c r="C174" s="621"/>
      <c r="D174" s="113"/>
      <c r="E174" s="113"/>
      <c r="F174" s="437"/>
      <c r="G174" s="438"/>
      <c r="H174" s="439"/>
      <c r="I174" s="439"/>
      <c r="J174" s="439"/>
      <c r="K174" s="440"/>
      <c r="L174" s="435"/>
      <c r="M174" s="435"/>
      <c r="N174" s="435"/>
      <c r="O174" s="436"/>
    </row>
    <row r="175" spans="1:17" s="428" customFormat="1" ht="24" customHeight="1">
      <c r="B175" s="113"/>
      <c r="C175" s="621"/>
      <c r="D175" s="113"/>
      <c r="E175" s="113"/>
      <c r="F175" s="437"/>
      <c r="G175" s="438"/>
      <c r="H175" s="439"/>
      <c r="I175" s="439"/>
      <c r="J175" s="439"/>
      <c r="K175" s="440"/>
      <c r="L175" s="435"/>
      <c r="M175" s="435"/>
      <c r="N175" s="435"/>
      <c r="O175" s="436"/>
    </row>
    <row r="176" spans="1:17" s="428" customFormat="1" ht="24" customHeight="1">
      <c r="B176" s="113"/>
      <c r="C176" s="621"/>
      <c r="D176" s="113"/>
      <c r="E176" s="113"/>
      <c r="F176" s="437"/>
      <c r="G176" s="438"/>
      <c r="H176" s="439"/>
      <c r="I176" s="439"/>
      <c r="J176" s="439"/>
      <c r="K176" s="440"/>
      <c r="L176" s="435"/>
      <c r="M176" s="435"/>
      <c r="N176" s="435"/>
      <c r="O176" s="436"/>
    </row>
    <row r="177" spans="1:23" s="428" customFormat="1" ht="24" customHeight="1">
      <c r="B177" s="113"/>
      <c r="C177" s="621"/>
      <c r="D177" s="113"/>
      <c r="E177" s="113"/>
      <c r="F177" s="437"/>
      <c r="G177" s="438"/>
      <c r="H177" s="439"/>
      <c r="I177" s="439"/>
      <c r="J177" s="439"/>
      <c r="K177" s="440"/>
      <c r="L177" s="435"/>
      <c r="M177" s="435"/>
      <c r="N177" s="435"/>
      <c r="O177" s="436"/>
    </row>
    <row r="178" spans="1:23" s="428" customFormat="1" ht="24" customHeight="1">
      <c r="B178" s="113"/>
      <c r="C178" s="621"/>
      <c r="D178" s="113"/>
      <c r="E178" s="113"/>
      <c r="F178" s="437"/>
      <c r="G178" s="438"/>
      <c r="H178" s="439"/>
      <c r="I178" s="439"/>
      <c r="J178" s="439"/>
      <c r="K178" s="440"/>
      <c r="L178" s="435"/>
      <c r="M178" s="435"/>
      <c r="N178" s="435"/>
      <c r="O178" s="436"/>
    </row>
    <row r="179" spans="1:23" s="428" customFormat="1" ht="24" customHeight="1">
      <c r="B179" s="113"/>
      <c r="C179" s="621"/>
      <c r="D179" s="113"/>
      <c r="E179" s="113"/>
      <c r="F179" s="437"/>
      <c r="G179" s="438"/>
      <c r="H179" s="439"/>
      <c r="I179" s="439"/>
      <c r="J179" s="439"/>
      <c r="K179" s="440"/>
      <c r="L179" s="435"/>
      <c r="M179" s="435"/>
      <c r="N179" s="435"/>
      <c r="O179" s="436"/>
    </row>
    <row r="180" spans="1:23" s="441" customFormat="1" ht="24" customHeight="1">
      <c r="A180" s="428"/>
      <c r="B180" s="113"/>
      <c r="C180" s="621"/>
      <c r="D180" s="113"/>
      <c r="E180" s="113"/>
      <c r="F180" s="437"/>
      <c r="G180" s="438"/>
      <c r="H180" s="439"/>
      <c r="I180" s="439"/>
      <c r="J180" s="439"/>
      <c r="K180" s="440"/>
      <c r="L180" s="435"/>
      <c r="M180" s="435"/>
      <c r="N180" s="435"/>
      <c r="O180" s="436"/>
      <c r="P180" s="428"/>
      <c r="Q180" s="428"/>
      <c r="R180" s="428"/>
      <c r="S180" s="428"/>
      <c r="T180" s="428"/>
      <c r="U180" s="428"/>
      <c r="V180" s="428"/>
      <c r="W180" s="428"/>
    </row>
    <row r="181" spans="1:23" s="428" customFormat="1" ht="24" customHeight="1">
      <c r="B181" s="113"/>
      <c r="C181" s="621"/>
      <c r="D181" s="113"/>
      <c r="E181" s="113"/>
      <c r="F181" s="437"/>
      <c r="G181" s="438"/>
      <c r="H181" s="439"/>
      <c r="I181" s="439"/>
      <c r="J181" s="439"/>
      <c r="K181" s="440"/>
      <c r="L181" s="435"/>
      <c r="M181" s="435"/>
      <c r="N181" s="435"/>
      <c r="O181" s="436"/>
    </row>
    <row r="182" spans="1:23" s="428" customFormat="1" ht="24" customHeight="1">
      <c r="B182" s="113"/>
      <c r="C182" s="621"/>
      <c r="D182" s="113"/>
      <c r="E182" s="113"/>
      <c r="F182" s="437"/>
      <c r="G182" s="438"/>
      <c r="H182" s="439"/>
      <c r="I182" s="439"/>
      <c r="J182" s="439"/>
      <c r="K182" s="440"/>
      <c r="L182" s="435"/>
      <c r="M182" s="435"/>
      <c r="N182" s="435"/>
      <c r="O182" s="436"/>
    </row>
    <row r="183" spans="1:23" s="428" customFormat="1" ht="24" customHeight="1">
      <c r="B183" s="113"/>
      <c r="C183" s="621"/>
      <c r="D183" s="113"/>
      <c r="E183" s="113"/>
      <c r="F183" s="437"/>
      <c r="G183" s="438"/>
      <c r="H183" s="439"/>
      <c r="I183" s="439"/>
      <c r="J183" s="439"/>
      <c r="K183" s="440"/>
      <c r="L183" s="435"/>
      <c r="M183" s="435"/>
      <c r="N183" s="435"/>
      <c r="O183" s="436"/>
    </row>
    <row r="184" spans="1:23" s="428" customFormat="1" ht="24" customHeight="1">
      <c r="B184" s="113"/>
      <c r="C184" s="621"/>
      <c r="D184" s="113"/>
      <c r="E184" s="113"/>
      <c r="F184" s="437"/>
      <c r="G184" s="438"/>
      <c r="H184" s="439"/>
      <c r="I184" s="439"/>
      <c r="J184" s="439"/>
      <c r="K184" s="440"/>
      <c r="L184" s="435"/>
      <c r="M184" s="435"/>
      <c r="N184" s="435"/>
      <c r="O184" s="436"/>
    </row>
    <row r="185" spans="1:23" s="428" customFormat="1" ht="24" customHeight="1">
      <c r="B185" s="113"/>
      <c r="C185" s="621"/>
      <c r="D185" s="113"/>
      <c r="E185" s="113"/>
      <c r="F185" s="437"/>
      <c r="G185" s="438"/>
      <c r="H185" s="439"/>
      <c r="I185" s="439"/>
      <c r="J185" s="439"/>
      <c r="K185" s="440"/>
      <c r="L185" s="435"/>
      <c r="M185" s="435"/>
      <c r="N185" s="435"/>
      <c r="O185" s="436"/>
    </row>
    <row r="186" spans="1:23" s="428" customFormat="1" ht="24" customHeight="1">
      <c r="B186" s="113"/>
      <c r="C186" s="621"/>
      <c r="D186" s="113"/>
      <c r="E186" s="113"/>
      <c r="F186" s="437"/>
      <c r="G186" s="438"/>
      <c r="H186" s="439"/>
      <c r="I186" s="439"/>
      <c r="J186" s="439"/>
      <c r="K186" s="440"/>
      <c r="L186" s="435"/>
      <c r="M186" s="435"/>
      <c r="N186" s="435"/>
      <c r="O186" s="436"/>
    </row>
    <row r="187" spans="1:23" s="428" customFormat="1" ht="24" customHeight="1">
      <c r="B187" s="113"/>
      <c r="C187" s="621"/>
      <c r="D187" s="113"/>
      <c r="E187" s="113"/>
      <c r="F187" s="437"/>
      <c r="G187" s="438"/>
      <c r="H187" s="439"/>
      <c r="I187" s="439"/>
      <c r="J187" s="439"/>
      <c r="K187" s="440"/>
      <c r="L187" s="435"/>
      <c r="M187" s="435"/>
      <c r="N187" s="435"/>
      <c r="O187" s="436"/>
    </row>
    <row r="188" spans="1:23" s="428" customFormat="1" ht="24" customHeight="1">
      <c r="B188" s="113"/>
      <c r="C188" s="621"/>
      <c r="D188" s="113"/>
      <c r="E188" s="113"/>
      <c r="F188" s="437"/>
      <c r="G188" s="438"/>
      <c r="H188" s="439"/>
      <c r="I188" s="439"/>
      <c r="J188" s="439"/>
      <c r="K188" s="440"/>
      <c r="L188" s="435"/>
      <c r="M188" s="435"/>
      <c r="N188" s="435"/>
      <c r="O188" s="436"/>
    </row>
    <row r="189" spans="1:23" s="428" customFormat="1" ht="24" customHeight="1">
      <c r="B189" s="113"/>
      <c r="C189" s="621"/>
      <c r="D189" s="113"/>
      <c r="E189" s="113"/>
      <c r="F189" s="437"/>
      <c r="G189" s="438"/>
      <c r="H189" s="439"/>
      <c r="I189" s="439"/>
      <c r="J189" s="439"/>
      <c r="K189" s="440"/>
      <c r="L189" s="435"/>
      <c r="M189" s="435"/>
      <c r="N189" s="435"/>
      <c r="O189" s="436"/>
    </row>
    <row r="190" spans="1:23" s="428" customFormat="1" ht="24" customHeight="1">
      <c r="B190" s="113"/>
      <c r="C190" s="621"/>
      <c r="D190" s="113"/>
      <c r="E190" s="113"/>
      <c r="F190" s="437"/>
      <c r="G190" s="438"/>
      <c r="H190" s="439"/>
      <c r="I190" s="439"/>
      <c r="J190" s="439"/>
      <c r="K190" s="440"/>
      <c r="L190" s="435"/>
      <c r="M190" s="435"/>
      <c r="N190" s="435"/>
      <c r="O190" s="436"/>
    </row>
    <row r="191" spans="1:23" s="428" customFormat="1" ht="24" customHeight="1">
      <c r="B191" s="113"/>
      <c r="C191" s="621"/>
      <c r="D191" s="113"/>
      <c r="E191" s="113"/>
      <c r="F191" s="437"/>
      <c r="G191" s="438"/>
      <c r="H191" s="439"/>
      <c r="I191" s="439"/>
      <c r="J191" s="439"/>
      <c r="K191" s="440"/>
      <c r="L191" s="435"/>
      <c r="M191" s="435"/>
      <c r="N191" s="435"/>
      <c r="O191" s="436"/>
    </row>
    <row r="192" spans="1:23" s="428" customFormat="1" ht="24" customHeight="1">
      <c r="B192" s="113"/>
      <c r="C192" s="621"/>
      <c r="D192" s="113"/>
      <c r="E192" s="113"/>
      <c r="F192" s="437"/>
      <c r="G192" s="438"/>
      <c r="H192" s="439"/>
      <c r="I192" s="439"/>
      <c r="J192" s="439"/>
      <c r="K192" s="440"/>
      <c r="L192" s="435"/>
      <c r="M192" s="435"/>
      <c r="N192" s="435"/>
      <c r="O192" s="436"/>
    </row>
    <row r="193" spans="2:15" s="428" customFormat="1" ht="24" customHeight="1">
      <c r="B193" s="113"/>
      <c r="C193" s="621"/>
      <c r="D193" s="113"/>
      <c r="E193" s="113"/>
      <c r="F193" s="437"/>
      <c r="G193" s="438"/>
      <c r="H193" s="439"/>
      <c r="I193" s="439"/>
      <c r="J193" s="439"/>
      <c r="K193" s="440"/>
      <c r="L193" s="435"/>
      <c r="M193" s="435"/>
      <c r="N193" s="435"/>
      <c r="O193" s="436"/>
    </row>
    <row r="194" spans="2:15" s="428" customFormat="1" ht="24" customHeight="1">
      <c r="B194" s="113"/>
      <c r="C194" s="621"/>
      <c r="D194" s="113"/>
      <c r="E194" s="113"/>
      <c r="F194" s="437"/>
      <c r="G194" s="438"/>
      <c r="H194" s="439"/>
      <c r="I194" s="439"/>
      <c r="J194" s="439"/>
      <c r="K194" s="440"/>
      <c r="L194" s="435"/>
      <c r="M194" s="435"/>
      <c r="N194" s="435"/>
      <c r="O194" s="436"/>
    </row>
    <row r="195" spans="2:15" s="428" customFormat="1" ht="25.5" customHeight="1">
      <c r="B195" s="113"/>
      <c r="C195" s="621"/>
      <c r="D195" s="113"/>
      <c r="E195" s="113"/>
      <c r="F195" s="437"/>
      <c r="G195" s="438"/>
      <c r="H195" s="439"/>
      <c r="I195" s="439"/>
      <c r="J195" s="439"/>
      <c r="K195" s="440"/>
      <c r="L195" s="435"/>
      <c r="M195" s="435"/>
      <c r="N195" s="435"/>
      <c r="O195" s="436"/>
    </row>
    <row r="196" spans="2:15" s="428" customFormat="1" ht="25.5" customHeight="1">
      <c r="B196" s="113"/>
      <c r="C196" s="621"/>
      <c r="D196" s="113"/>
      <c r="E196" s="113"/>
      <c r="F196" s="437"/>
      <c r="G196" s="438"/>
      <c r="H196" s="439"/>
      <c r="I196" s="439"/>
      <c r="J196" s="439"/>
      <c r="K196" s="440"/>
      <c r="L196" s="435"/>
      <c r="M196" s="435"/>
      <c r="N196" s="435"/>
      <c r="O196" s="436"/>
    </row>
    <row r="197" spans="2:15" s="428" customFormat="1" ht="25.5" customHeight="1">
      <c r="B197" s="113"/>
      <c r="C197" s="621"/>
      <c r="D197" s="113"/>
      <c r="E197" s="113"/>
      <c r="F197" s="437"/>
      <c r="G197" s="438"/>
      <c r="H197" s="439"/>
      <c r="I197" s="439"/>
      <c r="J197" s="439"/>
      <c r="K197" s="440"/>
      <c r="L197" s="435"/>
      <c r="M197" s="435"/>
      <c r="N197" s="435"/>
      <c r="O197" s="436"/>
    </row>
    <row r="198" spans="2:15" s="428" customFormat="1" ht="25.5" customHeight="1">
      <c r="B198" s="113"/>
      <c r="C198" s="621"/>
      <c r="D198" s="113"/>
      <c r="E198" s="113"/>
      <c r="F198" s="437"/>
      <c r="G198" s="438"/>
      <c r="H198" s="439"/>
      <c r="I198" s="439"/>
      <c r="J198" s="439"/>
      <c r="K198" s="440"/>
      <c r="L198" s="435"/>
      <c r="M198" s="435"/>
      <c r="N198" s="435"/>
      <c r="O198" s="436"/>
    </row>
    <row r="199" spans="2:15" s="428" customFormat="1" ht="25.5" customHeight="1">
      <c r="B199" s="113"/>
      <c r="C199" s="621"/>
      <c r="D199" s="113"/>
      <c r="E199" s="113"/>
      <c r="F199" s="437"/>
      <c r="G199" s="438"/>
      <c r="H199" s="439"/>
      <c r="I199" s="439"/>
      <c r="J199" s="439"/>
      <c r="K199" s="440"/>
      <c r="L199" s="435"/>
      <c r="M199" s="435"/>
      <c r="N199" s="435"/>
      <c r="O199" s="436"/>
    </row>
    <row r="200" spans="2:15" s="428" customFormat="1" ht="25.5" customHeight="1">
      <c r="B200" s="119"/>
      <c r="C200" s="117"/>
      <c r="D200" s="117"/>
      <c r="E200" s="117"/>
      <c r="K200" s="442"/>
      <c r="M200" s="443"/>
      <c r="O200" s="436"/>
    </row>
    <row r="201" spans="2:15" s="428" customFormat="1" ht="25.5" customHeight="1">
      <c r="B201" s="119"/>
      <c r="C201" s="117"/>
      <c r="D201" s="117"/>
      <c r="E201" s="117"/>
      <c r="K201" s="442"/>
      <c r="M201" s="443"/>
      <c r="O201" s="436"/>
    </row>
    <row r="202" spans="2:15" s="428" customFormat="1" ht="25.5" customHeight="1">
      <c r="B202" s="119"/>
      <c r="C202" s="117"/>
      <c r="D202" s="117"/>
      <c r="E202" s="117"/>
      <c r="K202" s="442"/>
      <c r="M202" s="443"/>
      <c r="O202" s="436"/>
    </row>
    <row r="203" spans="2:15" s="428" customFormat="1" ht="25.5" customHeight="1">
      <c r="B203" s="119"/>
      <c r="C203" s="117"/>
      <c r="D203" s="117"/>
      <c r="E203" s="117"/>
      <c r="K203" s="442"/>
      <c r="M203" s="443"/>
      <c r="O203" s="436"/>
    </row>
    <row r="204" spans="2:15" s="428" customFormat="1" ht="25.5" customHeight="1">
      <c r="B204" s="119"/>
      <c r="C204" s="117"/>
      <c r="D204" s="117"/>
      <c r="E204" s="117"/>
      <c r="K204" s="442"/>
      <c r="M204" s="443"/>
      <c r="O204" s="436"/>
    </row>
    <row r="205" spans="2:15" s="428" customFormat="1" ht="25.5" customHeight="1">
      <c r="B205" s="119"/>
      <c r="C205" s="117"/>
      <c r="D205" s="117"/>
      <c r="E205" s="117"/>
      <c r="K205" s="442"/>
      <c r="M205" s="443"/>
      <c r="O205" s="436"/>
    </row>
    <row r="206" spans="2:15" s="428" customFormat="1" ht="25.5" customHeight="1">
      <c r="B206" s="119"/>
      <c r="C206" s="117"/>
      <c r="D206" s="117"/>
      <c r="E206" s="117"/>
      <c r="K206" s="442"/>
      <c r="M206" s="443"/>
      <c r="O206" s="436"/>
    </row>
    <row r="207" spans="2:15" s="428" customFormat="1" ht="25.5" customHeight="1">
      <c r="B207" s="119"/>
      <c r="C207" s="117"/>
      <c r="D207" s="117"/>
      <c r="E207" s="117"/>
      <c r="K207" s="442"/>
      <c r="M207" s="443"/>
      <c r="O207" s="436"/>
    </row>
    <row r="208" spans="2:15" s="428" customFormat="1" ht="25.5" customHeight="1">
      <c r="B208" s="119"/>
      <c r="C208" s="117"/>
      <c r="D208" s="117"/>
      <c r="E208" s="117"/>
      <c r="K208" s="442"/>
      <c r="M208" s="443"/>
      <c r="O208" s="436"/>
    </row>
    <row r="209" spans="2:15" s="428" customFormat="1" ht="25.5" customHeight="1">
      <c r="B209" s="119"/>
      <c r="C209" s="117"/>
      <c r="D209" s="117"/>
      <c r="E209" s="117"/>
      <c r="K209" s="442"/>
      <c r="M209" s="443"/>
      <c r="O209" s="436"/>
    </row>
    <row r="210" spans="2:15" s="428" customFormat="1" ht="25.5" customHeight="1">
      <c r="B210" s="119"/>
      <c r="C210" s="117"/>
      <c r="D210" s="117"/>
      <c r="E210" s="117"/>
      <c r="K210" s="442"/>
      <c r="M210" s="443"/>
      <c r="O210" s="436"/>
    </row>
    <row r="211" spans="2:15" s="428" customFormat="1" ht="25.5" customHeight="1">
      <c r="B211" s="119"/>
      <c r="C211" s="117"/>
      <c r="D211" s="117"/>
      <c r="E211" s="117"/>
      <c r="K211" s="442"/>
      <c r="M211" s="443"/>
      <c r="O211" s="436"/>
    </row>
    <row r="212" spans="2:15" s="428" customFormat="1" ht="25.5" customHeight="1">
      <c r="B212" s="119"/>
      <c r="C212" s="117"/>
      <c r="D212" s="117"/>
      <c r="E212" s="117"/>
      <c r="K212" s="442"/>
      <c r="M212" s="443"/>
      <c r="O212" s="436"/>
    </row>
    <row r="213" spans="2:15" s="428" customFormat="1" ht="25.5" customHeight="1">
      <c r="B213" s="119"/>
      <c r="C213" s="117"/>
      <c r="D213" s="117"/>
      <c r="E213" s="117"/>
      <c r="K213" s="442"/>
      <c r="M213" s="443"/>
      <c r="O213" s="436"/>
    </row>
    <row r="214" spans="2:15" s="428" customFormat="1" ht="25.5" customHeight="1">
      <c r="B214" s="119"/>
      <c r="C214" s="117"/>
      <c r="D214" s="117"/>
      <c r="E214" s="117"/>
      <c r="K214" s="442"/>
      <c r="M214" s="443"/>
      <c r="O214" s="436"/>
    </row>
    <row r="215" spans="2:15" s="428" customFormat="1" ht="25.5" customHeight="1">
      <c r="B215" s="119"/>
      <c r="C215" s="117"/>
      <c r="D215" s="117"/>
      <c r="E215" s="117"/>
      <c r="K215" s="442"/>
      <c r="M215" s="443"/>
      <c r="O215" s="436"/>
    </row>
    <row r="216" spans="2:15" s="428" customFormat="1" ht="25.5" customHeight="1">
      <c r="B216" s="119"/>
      <c r="C216" s="117"/>
      <c r="D216" s="117"/>
      <c r="E216" s="117"/>
      <c r="K216" s="442"/>
      <c r="M216" s="443"/>
      <c r="O216" s="436"/>
    </row>
    <row r="217" spans="2:15" s="428" customFormat="1" ht="25.5" customHeight="1">
      <c r="B217" s="119"/>
      <c r="C217" s="117"/>
      <c r="D217" s="117"/>
      <c r="E217" s="117"/>
      <c r="K217" s="442"/>
      <c r="M217" s="443"/>
      <c r="O217" s="436"/>
    </row>
    <row r="218" spans="2:15" s="428" customFormat="1" ht="25.5" customHeight="1">
      <c r="B218" s="119"/>
      <c r="C218" s="117"/>
      <c r="D218" s="117"/>
      <c r="E218" s="117"/>
      <c r="K218" s="442"/>
      <c r="M218" s="443"/>
      <c r="O218" s="436"/>
    </row>
    <row r="219" spans="2:15" s="428" customFormat="1" ht="25.5" customHeight="1">
      <c r="B219" s="119"/>
      <c r="C219" s="117"/>
      <c r="D219" s="117"/>
      <c r="E219" s="117"/>
      <c r="K219" s="442"/>
      <c r="M219" s="443"/>
      <c r="O219" s="436"/>
    </row>
    <row r="220" spans="2:15" s="428" customFormat="1" ht="25.5" customHeight="1">
      <c r="B220" s="119"/>
      <c r="C220" s="117"/>
      <c r="D220" s="117"/>
      <c r="E220" s="117"/>
      <c r="K220" s="442"/>
      <c r="M220" s="443"/>
      <c r="O220" s="436"/>
    </row>
    <row r="221" spans="2:15" s="428" customFormat="1" ht="25.5" customHeight="1">
      <c r="B221" s="119"/>
      <c r="C221" s="117"/>
      <c r="D221" s="117"/>
      <c r="E221" s="117"/>
      <c r="K221" s="442"/>
      <c r="M221" s="443"/>
      <c r="O221" s="436"/>
    </row>
    <row r="222" spans="2:15" s="428" customFormat="1" ht="25.5" customHeight="1">
      <c r="B222" s="119"/>
      <c r="C222" s="117"/>
      <c r="D222" s="117"/>
      <c r="E222" s="117"/>
      <c r="K222" s="442"/>
      <c r="M222" s="443"/>
      <c r="O222" s="436"/>
    </row>
    <row r="223" spans="2:15" s="428" customFormat="1" ht="25.5" customHeight="1">
      <c r="B223" s="119"/>
      <c r="C223" s="117"/>
      <c r="D223" s="117"/>
      <c r="E223" s="117"/>
      <c r="K223" s="442"/>
      <c r="M223" s="443"/>
      <c r="O223" s="436"/>
    </row>
    <row r="224" spans="2:15" s="428" customFormat="1" ht="25.5" customHeight="1">
      <c r="B224" s="119"/>
      <c r="C224" s="117"/>
      <c r="D224" s="117"/>
      <c r="E224" s="117"/>
      <c r="K224" s="442"/>
      <c r="M224" s="443"/>
      <c r="O224" s="436"/>
    </row>
    <row r="225" spans="2:15" s="428" customFormat="1" ht="25.5" customHeight="1">
      <c r="B225" s="119"/>
      <c r="C225" s="117"/>
      <c r="D225" s="117"/>
      <c r="E225" s="117"/>
      <c r="K225" s="442"/>
      <c r="M225" s="443"/>
      <c r="O225" s="436"/>
    </row>
    <row r="226" spans="2:15" s="428" customFormat="1" ht="25.5" customHeight="1">
      <c r="B226" s="119"/>
      <c r="C226" s="117"/>
      <c r="D226" s="117"/>
      <c r="E226" s="117"/>
      <c r="K226" s="442"/>
      <c r="M226" s="443"/>
      <c r="O226" s="436"/>
    </row>
    <row r="227" spans="2:15" s="428" customFormat="1" ht="25.5" customHeight="1">
      <c r="B227" s="119"/>
      <c r="C227" s="117"/>
      <c r="D227" s="117"/>
      <c r="E227" s="117"/>
      <c r="K227" s="442"/>
      <c r="M227" s="443"/>
      <c r="O227" s="436"/>
    </row>
    <row r="228" spans="2:15" s="428" customFormat="1" ht="25.5" customHeight="1">
      <c r="B228" s="119"/>
      <c r="C228" s="117"/>
      <c r="D228" s="117"/>
      <c r="E228" s="117"/>
      <c r="K228" s="442"/>
      <c r="M228" s="443"/>
      <c r="O228" s="436"/>
    </row>
    <row r="229" spans="2:15" s="428" customFormat="1" ht="25.5" customHeight="1">
      <c r="B229" s="119"/>
      <c r="C229" s="117"/>
      <c r="D229" s="117"/>
      <c r="E229" s="117"/>
      <c r="K229" s="442"/>
      <c r="M229" s="443"/>
      <c r="O229" s="436"/>
    </row>
    <row r="230" spans="2:15" s="428" customFormat="1" ht="25.5" customHeight="1">
      <c r="B230" s="119"/>
      <c r="C230" s="117"/>
      <c r="D230" s="117"/>
      <c r="E230" s="117"/>
      <c r="K230" s="442"/>
      <c r="M230" s="443"/>
      <c r="O230" s="436"/>
    </row>
    <row r="231" spans="2:15" s="428" customFormat="1" ht="25.5" customHeight="1">
      <c r="B231" s="119"/>
      <c r="C231" s="117"/>
      <c r="D231" s="117"/>
      <c r="E231" s="117"/>
      <c r="K231" s="442"/>
      <c r="M231" s="443"/>
      <c r="O231" s="436"/>
    </row>
    <row r="232" spans="2:15" s="428" customFormat="1" ht="25.5" customHeight="1">
      <c r="B232" s="119"/>
      <c r="C232" s="117"/>
      <c r="D232" s="117"/>
      <c r="E232" s="117"/>
      <c r="K232" s="442"/>
      <c r="M232" s="443"/>
      <c r="O232" s="436"/>
    </row>
    <row r="233" spans="2:15" s="428" customFormat="1" ht="25.5" customHeight="1">
      <c r="B233" s="119"/>
      <c r="C233" s="117"/>
      <c r="D233" s="117"/>
      <c r="E233" s="117"/>
      <c r="K233" s="442"/>
      <c r="M233" s="443"/>
      <c r="O233" s="436"/>
    </row>
    <row r="234" spans="2:15" s="428" customFormat="1" ht="25.5" customHeight="1">
      <c r="B234" s="119"/>
      <c r="C234" s="117"/>
      <c r="D234" s="117"/>
      <c r="E234" s="117"/>
      <c r="K234" s="442"/>
      <c r="M234" s="443"/>
      <c r="O234" s="436"/>
    </row>
    <row r="235" spans="2:15" s="428" customFormat="1" ht="25.5" customHeight="1">
      <c r="B235" s="119"/>
      <c r="C235" s="117"/>
      <c r="D235" s="117"/>
      <c r="E235" s="117"/>
      <c r="K235" s="442"/>
      <c r="M235" s="443"/>
      <c r="O235" s="436"/>
    </row>
    <row r="236" spans="2:15" s="428" customFormat="1" ht="25.5" customHeight="1">
      <c r="B236" s="119"/>
      <c r="C236" s="117"/>
      <c r="D236" s="117"/>
      <c r="E236" s="117"/>
      <c r="K236" s="442"/>
      <c r="M236" s="443"/>
      <c r="O236" s="436"/>
    </row>
    <row r="237" spans="2:15" s="428" customFormat="1" ht="25.5" customHeight="1">
      <c r="B237" s="119"/>
      <c r="C237" s="117"/>
      <c r="D237" s="117"/>
      <c r="E237" s="117"/>
      <c r="K237" s="442"/>
      <c r="M237" s="443"/>
      <c r="O237" s="436"/>
    </row>
    <row r="238" spans="2:15" s="428" customFormat="1" ht="25.5" customHeight="1">
      <c r="B238" s="119"/>
      <c r="C238" s="117"/>
      <c r="D238" s="117"/>
      <c r="E238" s="117"/>
      <c r="K238" s="442"/>
      <c r="M238" s="443"/>
      <c r="O238" s="436"/>
    </row>
    <row r="239" spans="2:15" s="428" customFormat="1" ht="25.5" customHeight="1">
      <c r="B239" s="119"/>
      <c r="C239" s="117"/>
      <c r="D239" s="117"/>
      <c r="E239" s="117"/>
      <c r="K239" s="442"/>
      <c r="M239" s="443"/>
      <c r="O239" s="436"/>
    </row>
    <row r="240" spans="2:15" s="428" customFormat="1" ht="25.5" customHeight="1">
      <c r="B240" s="119"/>
      <c r="C240" s="117"/>
      <c r="D240" s="117"/>
      <c r="E240" s="117"/>
      <c r="K240" s="442"/>
      <c r="M240" s="443"/>
      <c r="O240" s="436"/>
    </row>
    <row r="241" spans="2:15" s="428" customFormat="1" ht="25.5" customHeight="1">
      <c r="B241" s="119"/>
      <c r="C241" s="117"/>
      <c r="D241" s="117"/>
      <c r="E241" s="117"/>
      <c r="K241" s="442"/>
      <c r="M241" s="443"/>
      <c r="O241" s="436"/>
    </row>
    <row r="242" spans="2:15" s="428" customFormat="1" ht="25.5" customHeight="1">
      <c r="B242" s="119"/>
      <c r="C242" s="117"/>
      <c r="D242" s="117"/>
      <c r="E242" s="117"/>
      <c r="K242" s="442"/>
      <c r="M242" s="443"/>
      <c r="O242" s="436"/>
    </row>
    <row r="243" spans="2:15" s="428" customFormat="1" ht="25.5" customHeight="1">
      <c r="B243" s="119"/>
      <c r="C243" s="117"/>
      <c r="D243" s="117"/>
      <c r="E243" s="117"/>
      <c r="K243" s="442"/>
      <c r="M243" s="443"/>
      <c r="O243" s="436"/>
    </row>
    <row r="244" spans="2:15" s="428" customFormat="1" ht="25.5" customHeight="1">
      <c r="B244" s="119"/>
      <c r="C244" s="117"/>
      <c r="D244" s="117"/>
      <c r="E244" s="117"/>
      <c r="K244" s="442"/>
      <c r="M244" s="443"/>
      <c r="O244" s="436"/>
    </row>
    <row r="245" spans="2:15" s="428" customFormat="1" ht="25.5" customHeight="1">
      <c r="B245" s="119"/>
      <c r="C245" s="117"/>
      <c r="D245" s="117"/>
      <c r="E245" s="117"/>
      <c r="K245" s="442"/>
      <c r="M245" s="443"/>
      <c r="O245" s="436"/>
    </row>
    <row r="246" spans="2:15" s="428" customFormat="1" ht="25.5" customHeight="1">
      <c r="B246" s="119"/>
      <c r="C246" s="117"/>
      <c r="D246" s="117"/>
      <c r="E246" s="117"/>
      <c r="K246" s="442"/>
      <c r="M246" s="443"/>
      <c r="O246" s="436"/>
    </row>
    <row r="247" spans="2:15" s="428" customFormat="1" ht="25.5" customHeight="1">
      <c r="B247" s="119"/>
      <c r="C247" s="117"/>
      <c r="D247" s="117"/>
      <c r="E247" s="117"/>
      <c r="K247" s="442"/>
      <c r="M247" s="443"/>
      <c r="O247" s="436"/>
    </row>
    <row r="248" spans="2:15" s="428" customFormat="1" ht="25.5" customHeight="1">
      <c r="B248" s="116"/>
      <c r="C248" s="118"/>
      <c r="D248" s="118"/>
      <c r="E248" s="118"/>
      <c r="F248" s="436"/>
      <c r="G248" s="436"/>
      <c r="H248" s="436"/>
      <c r="I248" s="436"/>
      <c r="J248" s="436"/>
      <c r="K248" s="440"/>
      <c r="L248" s="436"/>
      <c r="M248" s="444"/>
      <c r="O248" s="436"/>
    </row>
    <row r="249" spans="2:15" s="428" customFormat="1" ht="25.5" customHeight="1">
      <c r="B249" s="119"/>
      <c r="C249" s="117"/>
      <c r="D249" s="117"/>
      <c r="E249" s="117"/>
      <c r="K249" s="442"/>
      <c r="M249" s="443"/>
      <c r="O249" s="436"/>
    </row>
    <row r="250" spans="2:15" s="428" customFormat="1" ht="25.5" customHeight="1">
      <c r="B250" s="119"/>
      <c r="C250" s="117"/>
      <c r="D250" s="117"/>
      <c r="E250" s="117"/>
      <c r="K250" s="442"/>
      <c r="M250" s="443"/>
      <c r="O250" s="436"/>
    </row>
    <row r="251" spans="2:15" s="169" customFormat="1" ht="25.5" customHeight="1">
      <c r="B251" s="120"/>
      <c r="C251" s="1"/>
      <c r="D251" s="1"/>
      <c r="E251" s="1"/>
      <c r="K251" s="205"/>
      <c r="M251" s="360"/>
      <c r="O251" s="445"/>
    </row>
    <row r="252" spans="2:15" s="169" customFormat="1" ht="25.5" customHeight="1">
      <c r="B252" s="120"/>
      <c r="C252" s="1"/>
      <c r="D252" s="1"/>
      <c r="E252" s="1"/>
      <c r="K252" s="205"/>
      <c r="M252" s="360"/>
      <c r="O252" s="445"/>
    </row>
    <row r="253" spans="2:15" s="169" customFormat="1" ht="25.5" customHeight="1">
      <c r="B253" s="120"/>
      <c r="C253" s="1"/>
      <c r="D253" s="1"/>
      <c r="E253" s="1"/>
      <c r="K253" s="205"/>
      <c r="M253" s="360"/>
      <c r="O253" s="445"/>
    </row>
    <row r="254" spans="2:15" s="169" customFormat="1" ht="25.5" customHeight="1">
      <c r="B254" s="120"/>
      <c r="C254" s="1"/>
      <c r="D254" s="1"/>
      <c r="E254" s="1"/>
      <c r="K254" s="205"/>
      <c r="M254" s="360"/>
      <c r="O254" s="445"/>
    </row>
    <row r="255" spans="2:15" s="169" customFormat="1" ht="25.5" customHeight="1">
      <c r="B255" s="120"/>
      <c r="C255" s="1"/>
      <c r="D255" s="1"/>
      <c r="E255" s="1"/>
      <c r="K255" s="205"/>
      <c r="M255" s="360"/>
      <c r="O255" s="445"/>
    </row>
    <row r="256" spans="2:15" s="169" customFormat="1" ht="25.5" customHeight="1">
      <c r="B256" s="120"/>
      <c r="C256" s="1"/>
      <c r="D256" s="1"/>
      <c r="E256" s="1"/>
      <c r="K256" s="205"/>
      <c r="M256" s="360"/>
      <c r="O256" s="445"/>
    </row>
    <row r="257" spans="2:15" s="169" customFormat="1" ht="25.5" customHeight="1">
      <c r="B257" s="120"/>
      <c r="C257" s="1"/>
      <c r="D257" s="1"/>
      <c r="E257" s="1"/>
      <c r="K257" s="205"/>
      <c r="M257" s="360"/>
      <c r="O257" s="445"/>
    </row>
    <row r="258" spans="2:15" s="169" customFormat="1" ht="25.5" customHeight="1">
      <c r="B258" s="120"/>
      <c r="C258" s="1"/>
      <c r="D258" s="1"/>
      <c r="E258" s="1"/>
      <c r="K258" s="205"/>
      <c r="M258" s="360"/>
      <c r="O258" s="445"/>
    </row>
    <row r="259" spans="2:15" s="169" customFormat="1" ht="25.5" customHeight="1">
      <c r="B259" s="120"/>
      <c r="C259" s="1"/>
      <c r="D259" s="1"/>
      <c r="E259" s="1"/>
      <c r="K259" s="205"/>
      <c r="M259" s="360"/>
      <c r="O259" s="445"/>
    </row>
    <row r="260" spans="2:15" s="169" customFormat="1" ht="25.5" customHeight="1">
      <c r="B260" s="120"/>
      <c r="C260" s="1"/>
      <c r="D260" s="1"/>
      <c r="E260" s="1"/>
      <c r="K260" s="205"/>
      <c r="M260" s="360"/>
      <c r="O260" s="445"/>
    </row>
    <row r="261" spans="2:15" s="169" customFormat="1" ht="25.5" customHeight="1">
      <c r="B261" s="120"/>
      <c r="C261" s="1"/>
      <c r="D261" s="1"/>
      <c r="E261" s="1"/>
      <c r="K261" s="205"/>
      <c r="M261" s="360"/>
      <c r="O261" s="445"/>
    </row>
    <row r="262" spans="2:15" s="169" customFormat="1" ht="25.5" customHeight="1">
      <c r="B262" s="40"/>
      <c r="C262" s="43"/>
      <c r="D262" s="99"/>
      <c r="E262" s="1"/>
      <c r="K262" s="205"/>
      <c r="M262" s="360"/>
      <c r="O262" s="445"/>
    </row>
    <row r="263" spans="2:15" s="169" customFormat="1" ht="25.5" customHeight="1">
      <c r="B263" s="120"/>
      <c r="C263" s="1"/>
      <c r="D263" s="1"/>
      <c r="E263" s="1"/>
      <c r="K263" s="205"/>
      <c r="M263" s="360"/>
      <c r="O263" s="445"/>
    </row>
    <row r="264" spans="2:15" s="169" customFormat="1" ht="25.5" customHeight="1">
      <c r="B264" s="120"/>
      <c r="C264" s="1"/>
      <c r="D264" s="1"/>
      <c r="E264" s="1"/>
      <c r="K264" s="205"/>
      <c r="M264" s="360"/>
      <c r="O264" s="445"/>
    </row>
    <row r="265" spans="2:15" s="169" customFormat="1" ht="25.5" customHeight="1">
      <c r="B265" s="120"/>
      <c r="C265" s="1"/>
      <c r="D265" s="1"/>
      <c r="E265" s="1"/>
      <c r="K265" s="205"/>
      <c r="M265" s="360"/>
      <c r="O265" s="445"/>
    </row>
    <row r="266" spans="2:15" s="169" customFormat="1" ht="25.5" customHeight="1">
      <c r="B266" s="120"/>
      <c r="C266" s="1"/>
      <c r="D266" s="1"/>
      <c r="E266" s="1"/>
      <c r="K266" s="205"/>
      <c r="M266" s="360"/>
      <c r="O266" s="445"/>
    </row>
    <row r="267" spans="2:15" s="169" customFormat="1" ht="25.5" customHeight="1">
      <c r="B267" s="120"/>
      <c r="C267" s="1"/>
      <c r="D267" s="1"/>
      <c r="E267" s="1"/>
      <c r="K267" s="205"/>
      <c r="M267" s="360"/>
      <c r="O267" s="445"/>
    </row>
    <row r="268" spans="2:15" s="169" customFormat="1" ht="25.5" customHeight="1">
      <c r="B268" s="120"/>
      <c r="C268" s="1"/>
      <c r="D268" s="1"/>
      <c r="E268" s="1"/>
      <c r="K268" s="205"/>
      <c r="M268" s="360"/>
      <c r="O268" s="445"/>
    </row>
    <row r="269" spans="2:15" s="169" customFormat="1" ht="25.5" customHeight="1">
      <c r="B269" s="120"/>
      <c r="C269" s="1"/>
      <c r="D269" s="1"/>
      <c r="E269" s="1"/>
      <c r="K269" s="205"/>
      <c r="M269" s="360"/>
      <c r="O269" s="445"/>
    </row>
    <row r="270" spans="2:15" s="169" customFormat="1" ht="25.5" customHeight="1">
      <c r="B270" s="120"/>
      <c r="C270" s="1"/>
      <c r="D270" s="1"/>
      <c r="E270" s="1"/>
      <c r="K270" s="205"/>
      <c r="M270" s="360"/>
      <c r="O270" s="445"/>
    </row>
    <row r="271" spans="2:15" s="169" customFormat="1" ht="25.5" customHeight="1">
      <c r="B271" s="120"/>
      <c r="C271" s="1"/>
      <c r="D271" s="1"/>
      <c r="E271" s="1"/>
      <c r="K271" s="205"/>
      <c r="M271" s="360"/>
      <c r="O271" s="445"/>
    </row>
    <row r="272" spans="2:15" s="169" customFormat="1" ht="25.5" customHeight="1">
      <c r="B272" s="120"/>
      <c r="C272" s="1"/>
      <c r="D272" s="1"/>
      <c r="E272" s="1"/>
      <c r="K272" s="205"/>
      <c r="M272" s="360"/>
      <c r="O272" s="445"/>
    </row>
    <row r="273" spans="2:15" s="169" customFormat="1" ht="25.5" customHeight="1">
      <c r="B273" s="120"/>
      <c r="C273" s="1"/>
      <c r="D273" s="1"/>
      <c r="E273" s="1"/>
      <c r="K273" s="205"/>
      <c r="M273" s="360"/>
      <c r="O273" s="445"/>
    </row>
    <row r="274" spans="2:15" s="169" customFormat="1" ht="25.5" customHeight="1">
      <c r="B274" s="120"/>
      <c r="C274" s="1"/>
      <c r="D274" s="1"/>
      <c r="E274" s="1"/>
      <c r="K274" s="205"/>
      <c r="M274" s="360"/>
      <c r="O274" s="445"/>
    </row>
    <row r="275" spans="2:15" s="169" customFormat="1" ht="25.5" customHeight="1">
      <c r="B275" s="120"/>
      <c r="C275" s="1"/>
      <c r="D275" s="1"/>
      <c r="E275" s="1"/>
      <c r="K275" s="205"/>
      <c r="M275" s="360"/>
      <c r="O275" s="445"/>
    </row>
    <row r="276" spans="2:15" s="169" customFormat="1" ht="25.5" customHeight="1">
      <c r="B276" s="120"/>
      <c r="C276" s="1"/>
      <c r="D276" s="1"/>
      <c r="E276" s="1"/>
      <c r="K276" s="205"/>
      <c r="M276" s="360"/>
      <c r="O276" s="445"/>
    </row>
    <row r="277" spans="2:15" s="169" customFormat="1" ht="25.5" customHeight="1">
      <c r="B277" s="120"/>
      <c r="C277" s="1"/>
      <c r="D277" s="1"/>
      <c r="E277" s="1"/>
      <c r="K277" s="205"/>
      <c r="M277" s="360"/>
      <c r="O277" s="445"/>
    </row>
    <row r="278" spans="2:15" s="169" customFormat="1" ht="25.5" customHeight="1">
      <c r="B278" s="120"/>
      <c r="C278" s="1"/>
      <c r="D278" s="1"/>
      <c r="E278" s="1"/>
      <c r="K278" s="205"/>
      <c r="M278" s="360"/>
      <c r="O278" s="445"/>
    </row>
    <row r="279" spans="2:15" s="169" customFormat="1" ht="25.5" customHeight="1">
      <c r="B279" s="120"/>
      <c r="C279" s="1"/>
      <c r="D279" s="1"/>
      <c r="E279" s="1"/>
      <c r="K279" s="205"/>
      <c r="M279" s="360"/>
      <c r="O279" s="445"/>
    </row>
    <row r="280" spans="2:15" s="169" customFormat="1" ht="25.5" customHeight="1">
      <c r="B280" s="120"/>
      <c r="C280" s="1"/>
      <c r="D280" s="1"/>
      <c r="E280" s="1"/>
      <c r="K280" s="205"/>
      <c r="M280" s="360"/>
      <c r="O280" s="445"/>
    </row>
    <row r="281" spans="2:15" s="169" customFormat="1" ht="25.5" customHeight="1">
      <c r="B281" s="120"/>
      <c r="C281" s="1"/>
      <c r="D281" s="1"/>
      <c r="E281" s="1"/>
      <c r="K281" s="205"/>
      <c r="M281" s="360"/>
      <c r="O281" s="445"/>
    </row>
    <row r="282" spans="2:15" s="169" customFormat="1" ht="25.5" customHeight="1">
      <c r="B282" s="120"/>
      <c r="C282" s="1"/>
      <c r="D282" s="1"/>
      <c r="E282" s="1"/>
      <c r="K282" s="205"/>
      <c r="M282" s="360"/>
      <c r="O282" s="445"/>
    </row>
    <row r="283" spans="2:15" s="169" customFormat="1" ht="25.5" customHeight="1">
      <c r="B283" s="120"/>
      <c r="C283" s="1"/>
      <c r="D283" s="1"/>
      <c r="E283" s="1"/>
      <c r="K283" s="205"/>
      <c r="M283" s="360"/>
      <c r="O283" s="445"/>
    </row>
    <row r="284" spans="2:15" s="169" customFormat="1" ht="25.5" customHeight="1">
      <c r="B284" s="120"/>
      <c r="C284" s="1"/>
      <c r="D284" s="1"/>
      <c r="E284" s="1"/>
      <c r="K284" s="205"/>
      <c r="M284" s="360"/>
      <c r="O284" s="445"/>
    </row>
    <row r="285" spans="2:15" s="169" customFormat="1" ht="25.5" customHeight="1">
      <c r="B285" s="120"/>
      <c r="C285" s="1"/>
      <c r="D285" s="1"/>
      <c r="E285" s="1"/>
      <c r="K285" s="205"/>
      <c r="M285" s="360"/>
      <c r="O285" s="445"/>
    </row>
    <row r="286" spans="2:15" s="169" customFormat="1" ht="25.5" customHeight="1">
      <c r="B286" s="120"/>
      <c r="C286" s="1"/>
      <c r="D286" s="1"/>
      <c r="E286" s="1"/>
      <c r="K286" s="205"/>
      <c r="M286" s="360"/>
      <c r="O286" s="445"/>
    </row>
    <row r="287" spans="2:15" s="169" customFormat="1" ht="25.5" customHeight="1">
      <c r="B287" s="120"/>
      <c r="C287" s="1"/>
      <c r="D287" s="1"/>
      <c r="E287" s="1"/>
      <c r="K287" s="205"/>
      <c r="M287" s="360"/>
      <c r="O287" s="445"/>
    </row>
    <row r="288" spans="2:15" s="169" customFormat="1" ht="25.5" customHeight="1">
      <c r="B288" s="120"/>
      <c r="C288" s="1"/>
      <c r="D288" s="1"/>
      <c r="E288" s="1"/>
      <c r="K288" s="205"/>
      <c r="M288" s="360"/>
      <c r="O288" s="445"/>
    </row>
    <row r="289" spans="2:15" s="169" customFormat="1" ht="25.5" customHeight="1">
      <c r="B289" s="120"/>
      <c r="C289" s="1"/>
      <c r="D289" s="1"/>
      <c r="E289" s="1"/>
      <c r="K289" s="205"/>
      <c r="M289" s="360"/>
      <c r="O289" s="445"/>
    </row>
    <row r="290" spans="2:15" s="169" customFormat="1" ht="25.5" customHeight="1">
      <c r="B290" s="120"/>
      <c r="C290" s="1"/>
      <c r="D290" s="1"/>
      <c r="E290" s="1"/>
      <c r="K290" s="205"/>
      <c r="M290" s="360"/>
      <c r="O290" s="445"/>
    </row>
    <row r="291" spans="2:15" s="169" customFormat="1" ht="25.5" customHeight="1">
      <c r="B291" s="120"/>
      <c r="C291" s="1"/>
      <c r="D291" s="1"/>
      <c r="E291" s="1"/>
      <c r="K291" s="205"/>
      <c r="M291" s="360"/>
      <c r="O291" s="445"/>
    </row>
    <row r="292" spans="2:15" s="169" customFormat="1" ht="25.5" customHeight="1">
      <c r="B292" s="120"/>
      <c r="C292" s="1"/>
      <c r="D292" s="1"/>
      <c r="E292" s="1"/>
      <c r="K292" s="205"/>
      <c r="M292" s="360"/>
      <c r="O292" s="445"/>
    </row>
    <row r="293" spans="2:15" s="169" customFormat="1" ht="25.5" customHeight="1">
      <c r="B293" s="120"/>
      <c r="C293" s="1"/>
      <c r="D293" s="1"/>
      <c r="E293" s="1"/>
      <c r="K293" s="205"/>
      <c r="M293" s="360"/>
      <c r="O293" s="445"/>
    </row>
    <row r="294" spans="2:15" s="169" customFormat="1" ht="25.5" customHeight="1">
      <c r="B294" s="120"/>
      <c r="C294" s="1"/>
      <c r="D294" s="1"/>
      <c r="E294" s="1"/>
      <c r="K294" s="205"/>
      <c r="M294" s="360"/>
      <c r="O294" s="445"/>
    </row>
    <row r="295" spans="2:15" s="169" customFormat="1" ht="25.5" customHeight="1">
      <c r="B295" s="120"/>
      <c r="C295" s="1"/>
      <c r="D295" s="1"/>
      <c r="E295" s="1"/>
      <c r="K295" s="205"/>
      <c r="M295" s="360"/>
      <c r="O295" s="445"/>
    </row>
    <row r="296" spans="2:15" s="169" customFormat="1" ht="25.5" customHeight="1">
      <c r="B296" s="120"/>
      <c r="C296" s="1"/>
      <c r="D296" s="1"/>
      <c r="E296" s="1"/>
      <c r="K296" s="205"/>
      <c r="M296" s="360"/>
      <c r="O296" s="445"/>
    </row>
    <row r="297" spans="2:15" s="169" customFormat="1" ht="25.5" customHeight="1">
      <c r="B297" s="120"/>
      <c r="C297" s="1"/>
      <c r="D297" s="1"/>
      <c r="E297" s="1"/>
      <c r="K297" s="205"/>
      <c r="M297" s="360"/>
      <c r="O297" s="445"/>
    </row>
    <row r="298" spans="2:15" s="169" customFormat="1" ht="25.5" customHeight="1">
      <c r="B298" s="120"/>
      <c r="C298" s="1"/>
      <c r="D298" s="1"/>
      <c r="E298" s="1"/>
      <c r="K298" s="205"/>
      <c r="M298" s="360"/>
      <c r="O298" s="445"/>
    </row>
    <row r="299" spans="2:15" s="169" customFormat="1" ht="25.5" customHeight="1">
      <c r="B299" s="120"/>
      <c r="C299" s="1"/>
      <c r="D299" s="1"/>
      <c r="E299" s="1"/>
      <c r="K299" s="205"/>
      <c r="M299" s="360"/>
      <c r="O299" s="445"/>
    </row>
    <row r="300" spans="2:15" s="169" customFormat="1" ht="25.5" customHeight="1">
      <c r="B300" s="120"/>
      <c r="C300" s="1"/>
      <c r="D300" s="1"/>
      <c r="E300" s="1"/>
      <c r="K300" s="205"/>
      <c r="M300" s="360"/>
      <c r="O300" s="445"/>
    </row>
    <row r="301" spans="2:15" s="169" customFormat="1" ht="25.5" customHeight="1">
      <c r="B301" s="120"/>
      <c r="C301" s="1"/>
      <c r="D301" s="1"/>
      <c r="E301" s="1"/>
      <c r="K301" s="205"/>
      <c r="M301" s="360"/>
      <c r="O301" s="445"/>
    </row>
    <row r="302" spans="2:15" s="169" customFormat="1" ht="25.5" customHeight="1">
      <c r="B302" s="120"/>
      <c r="C302" s="1"/>
      <c r="D302" s="1"/>
      <c r="E302" s="1"/>
      <c r="K302" s="205"/>
      <c r="M302" s="360"/>
      <c r="O302" s="445"/>
    </row>
    <row r="303" spans="2:15" s="169" customFormat="1" ht="25.5" customHeight="1">
      <c r="B303" s="120"/>
      <c r="C303" s="1"/>
      <c r="D303" s="1"/>
      <c r="E303" s="1"/>
      <c r="K303" s="205"/>
      <c r="M303" s="360"/>
      <c r="O303" s="445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120"/>
      <c r="C315" s="1"/>
      <c r="D315" s="1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</sheetData>
  <sheetProtection algorithmName="SHA-512" hashValue="PAhRP2oVnP6BPSuqcKb+pygwHp4vsJP26Doww3F+0NAGabIMmjkeBGI9Xo0UuL3oPKBcsFJRjasggRHyQ3j6DA==" saltValue="P4n/2reYZ9DaXnOes6/Ihg==" spinCount="100000" sheet="1" selectLockedCells="1"/>
  <mergeCells count="58">
    <mergeCell ref="M121:N121"/>
    <mergeCell ref="M122:N122"/>
    <mergeCell ref="F99:G99"/>
    <mergeCell ref="H99:I99"/>
    <mergeCell ref="B4:C4"/>
    <mergeCell ref="B15:G17"/>
    <mergeCell ref="B19:F19"/>
    <mergeCell ref="F98:G98"/>
    <mergeCell ref="H98:I98"/>
    <mergeCell ref="D114:E114"/>
    <mergeCell ref="F114:G114"/>
    <mergeCell ref="H114:I114"/>
    <mergeCell ref="J114:K114"/>
    <mergeCell ref="F100:G100"/>
    <mergeCell ref="H100:I100"/>
    <mergeCell ref="B105:G107"/>
    <mergeCell ref="B108:F108"/>
    <mergeCell ref="B109:F109"/>
    <mergeCell ref="D112:E112"/>
    <mergeCell ref="F112:G112"/>
    <mergeCell ref="H112:I112"/>
    <mergeCell ref="J112:K112"/>
    <mergeCell ref="D113:E113"/>
    <mergeCell ref="F113:G113"/>
    <mergeCell ref="H113:I113"/>
    <mergeCell ref="J113:K113"/>
    <mergeCell ref="D115:E115"/>
    <mergeCell ref="F115:G115"/>
    <mergeCell ref="H115:I115"/>
    <mergeCell ref="J115:K115"/>
    <mergeCell ref="D116:E116"/>
    <mergeCell ref="F116:G116"/>
    <mergeCell ref="H116:I116"/>
    <mergeCell ref="J116:K116"/>
    <mergeCell ref="J133:K133"/>
    <mergeCell ref="D117:E117"/>
    <mergeCell ref="F117:G117"/>
    <mergeCell ref="H117:I117"/>
    <mergeCell ref="J117:K117"/>
    <mergeCell ref="F120:G120"/>
    <mergeCell ref="F121:G121"/>
    <mergeCell ref="B126:G128"/>
    <mergeCell ref="B129:F129"/>
    <mergeCell ref="B130:F130"/>
    <mergeCell ref="C133:D133"/>
    <mergeCell ref="F133:G133"/>
    <mergeCell ref="J164:M164"/>
    <mergeCell ref="F134:G134"/>
    <mergeCell ref="J134:K134"/>
    <mergeCell ref="F135:G135"/>
    <mergeCell ref="J135:K135"/>
    <mergeCell ref="F136:G136"/>
    <mergeCell ref="J136:K136"/>
    <mergeCell ref="B150:G152"/>
    <mergeCell ref="B153:F153"/>
    <mergeCell ref="B160:C160"/>
    <mergeCell ref="B161:C161"/>
    <mergeCell ref="B163:C163"/>
  </mergeCells>
  <phoneticPr fontId="2" type="noConversion"/>
  <conditionalFormatting sqref="M25:N35 M61:N63 M39:N39">
    <cfRule type="cellIs" dxfId="84" priority="59" operator="greaterThan">
      <formula>0</formula>
    </cfRule>
  </conditionalFormatting>
  <conditionalFormatting sqref="H134 H121 J99:J100 I25:K35">
    <cfRule type="cellIs" dxfId="83" priority="58" operator="greaterThan">
      <formula>0</formula>
    </cfRule>
  </conditionalFormatting>
  <conditionalFormatting sqref="J100">
    <cfRule type="cellIs" dxfId="82" priority="57" operator="greaterThan">
      <formula>0</formula>
    </cfRule>
  </conditionalFormatting>
  <conditionalFormatting sqref="J99">
    <cfRule type="cellIs" dxfId="81" priority="56" operator="greaterThan">
      <formula>0</formula>
    </cfRule>
  </conditionalFormatting>
  <conditionalFormatting sqref="H121">
    <cfRule type="cellIs" dxfId="80" priority="55" operator="greaterThan">
      <formula>0</formula>
    </cfRule>
  </conditionalFormatting>
  <conditionalFormatting sqref="I25:I35 I65:I85">
    <cfRule type="cellIs" dxfId="79" priority="54" operator="lessThan">
      <formula>$J25</formula>
    </cfRule>
  </conditionalFormatting>
  <conditionalFormatting sqref="H136 J136">
    <cfRule type="cellIs" dxfId="78" priority="53" operator="greaterThan">
      <formula>0</formula>
    </cfRule>
  </conditionalFormatting>
  <conditionalFormatting sqref="J136">
    <cfRule type="cellIs" dxfId="77" priority="52" operator="greaterThan">
      <formula>0</formula>
    </cfRule>
  </conditionalFormatting>
  <conditionalFormatting sqref="H135 J135">
    <cfRule type="cellIs" dxfId="76" priority="51" operator="greaterThan">
      <formula>0</formula>
    </cfRule>
  </conditionalFormatting>
  <conditionalFormatting sqref="J135">
    <cfRule type="cellIs" dxfId="75" priority="50" operator="greaterThan">
      <formula>0</formula>
    </cfRule>
  </conditionalFormatting>
  <conditionalFormatting sqref="I91:J93">
    <cfRule type="cellIs" dxfId="74" priority="43" operator="greaterThan">
      <formula>0</formula>
    </cfRule>
  </conditionalFormatting>
  <conditionalFormatting sqref="M91:N92">
    <cfRule type="cellIs" dxfId="73" priority="44" operator="greaterThan">
      <formula>0</formula>
    </cfRule>
  </conditionalFormatting>
  <conditionalFormatting sqref="I91:J93">
    <cfRule type="cellIs" dxfId="72" priority="45" operator="lessThan">
      <formula>$J91</formula>
    </cfRule>
  </conditionalFormatting>
  <conditionalFormatting sqref="M93:N93">
    <cfRule type="cellIs" dxfId="71" priority="42" operator="greaterThan">
      <formula>0</formula>
    </cfRule>
  </conditionalFormatting>
  <conditionalFormatting sqref="K91:K93">
    <cfRule type="cellIs" dxfId="70" priority="41" operator="greaterThan">
      <formula>0</formula>
    </cfRule>
  </conditionalFormatting>
  <conditionalFormatting sqref="M42:N42 M44:N44 M46:N46 M48:N48 M50:N50 M52:N52 M54:N54 M56:N56 M58:N58">
    <cfRule type="cellIs" dxfId="69" priority="38" operator="greaterThan">
      <formula>0</formula>
    </cfRule>
  </conditionalFormatting>
  <conditionalFormatting sqref="I41:K59">
    <cfRule type="cellIs" dxfId="68" priority="39" operator="greaterThan">
      <formula>0</formula>
    </cfRule>
  </conditionalFormatting>
  <conditionalFormatting sqref="M41:N41 M43:N43 M45:N45 M47:N47 M49:N49 M51:N51 M53:N53 M55:N55 M57:N57 M59:N59">
    <cfRule type="cellIs" dxfId="67" priority="37" operator="greaterThan">
      <formula>0</formula>
    </cfRule>
  </conditionalFormatting>
  <conditionalFormatting sqref="M42:N42 M44:N44 M46:N46 M48:N48 M50:N50 M52:N52 M54:N54 M56:N56 M58:N58">
    <cfRule type="cellIs" dxfId="66" priority="36" operator="greaterThan">
      <formula>0</formula>
    </cfRule>
  </conditionalFormatting>
  <conditionalFormatting sqref="M41:N41 M43:N43 M45:N45 M47:N47 M49:N49 M51:N51 M53:N53 M55:N55 M57:N57 M59:N59">
    <cfRule type="cellIs" dxfId="65" priority="35" operator="greaterThan">
      <formula>0</formula>
    </cfRule>
  </conditionalFormatting>
  <conditionalFormatting sqref="N41:N59">
    <cfRule type="cellIs" dxfId="64" priority="34" operator="greaterThan">
      <formula>0</formula>
    </cfRule>
  </conditionalFormatting>
  <conditionalFormatting sqref="I41:I59">
    <cfRule type="cellIs" dxfId="63" priority="40" operator="lessThan">
      <formula>$J41</formula>
    </cfRule>
  </conditionalFormatting>
  <conditionalFormatting sqref="M66:N66 M68:N68 M70:N70 M72:N72 M74:N74 M76:N76 M78:N78 M80:N80 M82:N82 M84:N84">
    <cfRule type="cellIs" dxfId="62" priority="5" operator="greaterThan">
      <formula>0</formula>
    </cfRule>
  </conditionalFormatting>
  <conditionalFormatting sqref="N65:N85">
    <cfRule type="cellIs" dxfId="61" priority="1" operator="greaterThan">
      <formula>0</formula>
    </cfRule>
  </conditionalFormatting>
  <conditionalFormatting sqref="M66:N66 M68:N68 M70:N70 M72:N72 M74:N74 M76:N76 M78:N78 M80:N80 M82:N82 M84:N84">
    <cfRule type="cellIs" dxfId="60" priority="3" operator="greaterThan">
      <formula>0</formula>
    </cfRule>
  </conditionalFormatting>
  <conditionalFormatting sqref="M65:N65 M67:N67 M69:N69 M71:N71 M73:N73 M75:N75 M77:N77 M79:N79 M81:N81 M83:N83 M85:N85">
    <cfRule type="cellIs" dxfId="59" priority="2" operator="greaterThan">
      <formula>0</formula>
    </cfRule>
  </conditionalFormatting>
  <conditionalFormatting sqref="I65:K85">
    <cfRule type="cellIs" dxfId="58" priority="6" operator="greaterThan">
      <formula>0</formula>
    </cfRule>
  </conditionalFormatting>
  <conditionalFormatting sqref="M65:N65 M67:N67 M69:N69 M71:N71 M73:N73 M75:N75 M77:N77 M79:N79 M81:N81 M83:N83 M85:N85">
    <cfRule type="cellIs" dxfId="57" priority="4" operator="greaterThan">
      <formula>0</formula>
    </cfRule>
  </conditionalFormatting>
  <hyperlinks>
    <hyperlink ref="B10:C10" r:id="rId1" display="    E-mail: sales@safespring.se" xr:uid="{3A95D41F-394E-7B44-9A3B-1D070FD26584}"/>
    <hyperlink ref="B10" r:id="rId2" xr:uid="{624820B0-F022-8A4A-A799-EC2440701112}"/>
    <hyperlink ref="B157" r:id="rId3" tooltip="Skicka ett mail till Safespring." xr:uid="{7F2847DD-EAE5-C94B-9875-77E3E2E34C94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101" max="13" man="1"/>
    <brk id="140" max="13" man="1"/>
    <brk id="169" max="13" man="1"/>
    <brk id="189" max="13" man="1"/>
    <brk id="211" max="16383" man="1"/>
  </rowBrea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9"/>
  <sheetViews>
    <sheetView zoomScale="120" zoomScaleNormal="120" workbookViewId="0">
      <selection activeCell="H10" sqref="H10"/>
    </sheetView>
  </sheetViews>
  <sheetFormatPr baseColWidth="10" defaultColWidth="17.6640625" defaultRowHeight="30" customHeight="1"/>
  <cols>
    <col min="1" max="1" width="10.1640625" style="533" customWidth="1"/>
    <col min="2" max="3" width="17.6640625" style="533"/>
    <col min="4" max="4" width="17.6640625" style="540"/>
    <col min="5" max="6" width="23.1640625" style="533" bestFit="1" customWidth="1"/>
    <col min="7" max="7" width="22.33203125" style="590" bestFit="1" customWidth="1"/>
    <col min="8" max="16384" width="17.6640625" style="533"/>
  </cols>
  <sheetData>
    <row r="1" spans="2:14" s="52" customFormat="1" ht="30" customHeight="1">
      <c r="B1" s="53"/>
      <c r="D1" s="55"/>
      <c r="G1" s="586"/>
      <c r="L1" s="54"/>
      <c r="N1" s="55"/>
    </row>
    <row r="2" spans="2:14" s="153" customFormat="1" ht="30" customHeight="1">
      <c r="B2" s="126" t="s">
        <v>3</v>
      </c>
      <c r="C2" s="124"/>
      <c r="D2" s="125" t="s">
        <v>51</v>
      </c>
      <c r="E2" s="125" t="s">
        <v>395</v>
      </c>
      <c r="F2" s="125" t="s">
        <v>112</v>
      </c>
      <c r="G2" s="582" t="s">
        <v>339</v>
      </c>
      <c r="I2" s="124" t="s">
        <v>56</v>
      </c>
      <c r="J2" s="125"/>
      <c r="K2" s="125"/>
    </row>
    <row r="3" spans="2:14" s="52" customFormat="1" ht="30" customHeight="1">
      <c r="B3" s="136" t="s">
        <v>189</v>
      </c>
      <c r="C3" s="46"/>
      <c r="D3" s="151">
        <v>55</v>
      </c>
      <c r="E3" s="132">
        <f t="shared" ref="E3:E6" si="0">D3*SEK</f>
        <v>55</v>
      </c>
      <c r="F3" s="134">
        <f>D3*EUR</f>
        <v>5.2094899999999997</v>
      </c>
      <c r="G3" s="132">
        <f t="shared" ref="G3:G11" si="1">(D3*(1+Safespring.price.increase))*(1+sunet.price.increase)</f>
        <v>67.650000000000006</v>
      </c>
      <c r="I3" s="88" t="s">
        <v>111</v>
      </c>
      <c r="J3" s="49"/>
      <c r="K3" s="530">
        <v>1</v>
      </c>
    </row>
    <row r="4" spans="2:14" s="52" customFormat="1" ht="30" customHeight="1">
      <c r="B4" s="86" t="s">
        <v>190</v>
      </c>
      <c r="C4" s="85"/>
      <c r="D4" s="151">
        <v>3.6</v>
      </c>
      <c r="E4" s="133">
        <f t="shared" si="0"/>
        <v>3.6</v>
      </c>
      <c r="F4" s="135">
        <f>D4*EUR</f>
        <v>0.34098479999999998</v>
      </c>
      <c r="G4" s="585">
        <f t="shared" si="1"/>
        <v>4.4279999999999999</v>
      </c>
      <c r="I4" s="123" t="s">
        <v>112</v>
      </c>
      <c r="K4" s="531">
        <v>9.4717999999999997E-2</v>
      </c>
    </row>
    <row r="5" spans="2:14" s="52" customFormat="1" ht="30" customHeight="1">
      <c r="B5" s="136" t="s">
        <v>191</v>
      </c>
      <c r="C5" s="46"/>
      <c r="D5" s="151">
        <v>80</v>
      </c>
      <c r="E5" s="132">
        <f t="shared" si="0"/>
        <v>80</v>
      </c>
      <c r="F5" s="134">
        <f t="shared" ref="F5:F6" si="2">D5*EUR</f>
        <v>7.5774399999999993</v>
      </c>
      <c r="G5" s="132">
        <f t="shared" si="1"/>
        <v>98.4</v>
      </c>
      <c r="I5" s="88" t="s">
        <v>113</v>
      </c>
      <c r="J5" s="49"/>
      <c r="K5" s="532">
        <v>1</v>
      </c>
    </row>
    <row r="6" spans="2:14" s="52" customFormat="1" ht="30" customHeight="1">
      <c r="B6" s="86" t="s">
        <v>192</v>
      </c>
      <c r="C6" s="85"/>
      <c r="D6" s="151">
        <v>1</v>
      </c>
      <c r="E6" s="133">
        <f t="shared" si="0"/>
        <v>1</v>
      </c>
      <c r="F6" s="135">
        <f t="shared" si="2"/>
        <v>9.4717999999999997E-2</v>
      </c>
      <c r="G6" s="133">
        <f t="shared" si="1"/>
        <v>1.23</v>
      </c>
      <c r="I6" s="147"/>
      <c r="J6" s="148"/>
      <c r="K6" s="147"/>
    </row>
    <row r="7" spans="2:14" s="52" customFormat="1" ht="30" customHeight="1">
      <c r="B7" s="136" t="s">
        <v>193</v>
      </c>
      <c r="C7" s="46"/>
      <c r="D7" s="151">
        <v>5500</v>
      </c>
      <c r="E7" s="132">
        <f>D7*SEK</f>
        <v>5500</v>
      </c>
      <c r="F7" s="134">
        <f>D7*EUR</f>
        <v>520.94899999999996</v>
      </c>
      <c r="G7" s="132">
        <f t="shared" si="1"/>
        <v>6765</v>
      </c>
      <c r="J7" s="54"/>
    </row>
    <row r="8" spans="2:14" s="52" customFormat="1" ht="30" customHeight="1">
      <c r="B8" s="484" t="s">
        <v>194</v>
      </c>
      <c r="C8" s="485"/>
      <c r="D8" s="151">
        <v>2.66</v>
      </c>
      <c r="E8" s="486">
        <f>D8*IAAS_vcpu_SEK*SEK</f>
        <v>212.8</v>
      </c>
      <c r="F8" s="487">
        <f>D8*IAAS_vcpu_SEK*EUR</f>
        <v>20.1559904</v>
      </c>
      <c r="G8" s="486">
        <f t="shared" si="1"/>
        <v>3.2718000000000003</v>
      </c>
      <c r="I8" s="126" t="s">
        <v>29</v>
      </c>
      <c r="J8" s="127" t="s">
        <v>54</v>
      </c>
      <c r="K8" s="125" t="s">
        <v>36</v>
      </c>
    </row>
    <row r="9" spans="2:14" s="52" customFormat="1" ht="30" customHeight="1">
      <c r="B9" s="136" t="s">
        <v>317</v>
      </c>
      <c r="C9" s="46"/>
      <c r="D9" s="151">
        <v>65</v>
      </c>
      <c r="E9" s="595" t="s">
        <v>25</v>
      </c>
      <c r="F9" s="596" t="s">
        <v>25</v>
      </c>
      <c r="G9" s="132">
        <f t="shared" si="1"/>
        <v>79.95</v>
      </c>
      <c r="I9" s="47" t="s">
        <v>53</v>
      </c>
      <c r="J9" s="146">
        <v>2</v>
      </c>
      <c r="K9" s="17">
        <f>J9*IAAS_vcpu_SEK</f>
        <v>160</v>
      </c>
    </row>
    <row r="10" spans="2:14" s="52" customFormat="1" ht="30" customHeight="1">
      <c r="B10" s="484" t="s">
        <v>318</v>
      </c>
      <c r="C10" s="485"/>
      <c r="D10" s="151">
        <v>85</v>
      </c>
      <c r="E10" s="597" t="s">
        <v>25</v>
      </c>
      <c r="F10" s="598" t="s">
        <v>25</v>
      </c>
      <c r="G10" s="486">
        <f t="shared" si="1"/>
        <v>104.55</v>
      </c>
      <c r="I10" s="128" t="s">
        <v>52</v>
      </c>
      <c r="J10" s="146">
        <v>8</v>
      </c>
      <c r="K10" s="87">
        <f>J10*IAAS_ram_SEK</f>
        <v>440</v>
      </c>
    </row>
    <row r="11" spans="2:14" s="154" customFormat="1" ht="30" customHeight="1">
      <c r="B11" s="136" t="s">
        <v>319</v>
      </c>
      <c r="C11" s="46"/>
      <c r="D11" s="151">
        <v>3.8</v>
      </c>
      <c r="E11" s="595" t="s">
        <v>25</v>
      </c>
      <c r="F11" s="596" t="s">
        <v>25</v>
      </c>
      <c r="G11" s="132">
        <f t="shared" si="1"/>
        <v>4.6739999999999995</v>
      </c>
      <c r="I11" s="129" t="s">
        <v>55</v>
      </c>
      <c r="J11" s="130"/>
      <c r="K11" s="131">
        <f>SUM(K9:K10)</f>
        <v>600</v>
      </c>
    </row>
    <row r="12" spans="2:14" s="52" customFormat="1" ht="30" customHeight="1">
      <c r="B12" s="488"/>
      <c r="C12" s="489"/>
      <c r="D12" s="490"/>
      <c r="E12" s="490"/>
      <c r="F12" s="490"/>
      <c r="G12" s="583"/>
      <c r="L12" s="54"/>
      <c r="N12" s="533"/>
    </row>
    <row r="13" spans="2:14" ht="30" customHeight="1">
      <c r="B13" s="126" t="s">
        <v>259</v>
      </c>
      <c r="C13" s="124"/>
      <c r="D13" s="125" t="s">
        <v>51</v>
      </c>
      <c r="E13" s="125" t="s">
        <v>111</v>
      </c>
      <c r="F13" s="125" t="s">
        <v>112</v>
      </c>
      <c r="G13" s="582" t="s">
        <v>312</v>
      </c>
      <c r="I13" s="126" t="s">
        <v>313</v>
      </c>
      <c r="J13" s="126"/>
      <c r="K13" s="127" t="s">
        <v>314</v>
      </c>
      <c r="L13" s="534"/>
    </row>
    <row r="14" spans="2:14" ht="30" customHeight="1">
      <c r="B14" s="136" t="s">
        <v>66</v>
      </c>
      <c r="C14" s="46"/>
      <c r="D14" s="162">
        <f>INSTANCE_p1.4xlarge.16d_SEK/2</f>
        <v>6840</v>
      </c>
      <c r="E14" s="132">
        <f t="shared" ref="E14:E16" si="3">D14*SEK</f>
        <v>6840</v>
      </c>
      <c r="F14" s="134">
        <f t="shared" ref="F14:F16" si="4">D14*EUR</f>
        <v>647.87112000000002</v>
      </c>
      <c r="G14" s="584"/>
      <c r="I14" s="47" t="s">
        <v>316</v>
      </c>
      <c r="J14" s="47"/>
      <c r="K14" s="580">
        <v>0</v>
      </c>
    </row>
    <row r="15" spans="2:14" s="535" customFormat="1" ht="30" customHeight="1">
      <c r="B15" s="86" t="s">
        <v>67</v>
      </c>
      <c r="C15" s="85"/>
      <c r="D15" s="161">
        <v>13680</v>
      </c>
      <c r="E15" s="133">
        <f t="shared" si="3"/>
        <v>13680</v>
      </c>
      <c r="F15" s="135">
        <f t="shared" si="4"/>
        <v>1295.74224</v>
      </c>
      <c r="G15" s="585"/>
      <c r="I15" s="128" t="s">
        <v>315</v>
      </c>
      <c r="J15" s="128"/>
      <c r="K15" s="580">
        <v>0.23</v>
      </c>
    </row>
    <row r="16" spans="2:14" ht="30" customHeight="1">
      <c r="B16" s="136" t="s">
        <v>68</v>
      </c>
      <c r="C16" s="46"/>
      <c r="D16" s="162">
        <f>INSTANCE_p1.4xlarge.16d_SEK*2</f>
        <v>27360</v>
      </c>
      <c r="E16" s="132">
        <f t="shared" si="3"/>
        <v>27360</v>
      </c>
      <c r="F16" s="134">
        <f t="shared" si="4"/>
        <v>2591.4844800000001</v>
      </c>
      <c r="G16" s="584"/>
      <c r="I16" s="129"/>
      <c r="J16" s="130"/>
      <c r="K16" s="581"/>
    </row>
    <row r="17" spans="2:7" s="535" customFormat="1" ht="30" customHeight="1">
      <c r="B17" s="147"/>
      <c r="C17" s="147"/>
      <c r="D17" s="155"/>
      <c r="E17" s="147"/>
      <c r="F17" s="147"/>
      <c r="G17" s="587"/>
    </row>
    <row r="18" spans="2:7" ht="30" customHeight="1">
      <c r="B18" s="126" t="s">
        <v>3</v>
      </c>
      <c r="C18" s="124"/>
      <c r="D18" s="125" t="s">
        <v>51</v>
      </c>
      <c r="E18" s="125" t="s">
        <v>111</v>
      </c>
      <c r="F18" s="125" t="s">
        <v>112</v>
      </c>
      <c r="G18" s="582" t="s">
        <v>312</v>
      </c>
    </row>
    <row r="19" spans="2:7" s="535" customFormat="1" ht="30" customHeight="1">
      <c r="B19" s="136" t="s">
        <v>181</v>
      </c>
      <c r="C19" s="46"/>
      <c r="D19" s="151">
        <v>1.2</v>
      </c>
      <c r="E19" s="132">
        <f>D19*SEK</f>
        <v>1.2</v>
      </c>
      <c r="F19" s="134">
        <f>D19*EUR</f>
        <v>0.11366159999999999</v>
      </c>
      <c r="G19" s="584">
        <f>(D19*(1+Safespring.price.increase))*(1+sunet.price.increase)</f>
        <v>1.476</v>
      </c>
    </row>
    <row r="20" spans="2:7" ht="30" customHeight="1">
      <c r="B20" s="86" t="s">
        <v>180</v>
      </c>
      <c r="C20" s="85"/>
      <c r="D20" s="151">
        <v>3.6</v>
      </c>
      <c r="E20" s="133">
        <f>D20*SEK</f>
        <v>3.6</v>
      </c>
      <c r="F20" s="135">
        <f>D20*EUR</f>
        <v>0.34098479999999998</v>
      </c>
      <c r="G20" s="585">
        <f>(D20*(1+Safespring.price.increase))*(1+sunet.price.increase)</f>
        <v>4.4279999999999999</v>
      </c>
    </row>
    <row r="21" spans="2:7" s="535" customFormat="1" ht="30" customHeight="1">
      <c r="B21" s="536"/>
      <c r="C21" s="536"/>
      <c r="D21" s="537"/>
      <c r="E21" s="536"/>
      <c r="F21" s="536"/>
      <c r="G21" s="588"/>
    </row>
    <row r="22" spans="2:7" ht="30" customHeight="1">
      <c r="B22" s="126" t="s">
        <v>32</v>
      </c>
      <c r="C22" s="124"/>
      <c r="D22" s="125" t="s">
        <v>51</v>
      </c>
      <c r="E22" s="125" t="s">
        <v>111</v>
      </c>
      <c r="F22" s="125" t="s">
        <v>112</v>
      </c>
      <c r="G22" s="582" t="s">
        <v>312</v>
      </c>
    </row>
    <row r="23" spans="2:7" ht="30" customHeight="1">
      <c r="B23" s="136" t="s">
        <v>186</v>
      </c>
      <c r="C23" s="46"/>
      <c r="D23" s="151">
        <v>2.4500000000000002</v>
      </c>
      <c r="E23" s="132">
        <f t="shared" ref="E23:E26" si="5">D23*SEK</f>
        <v>2.4500000000000002</v>
      </c>
      <c r="F23" s="134">
        <f t="shared" ref="F23:F26" si="6">D23*EUR</f>
        <v>0.23205910000000002</v>
      </c>
      <c r="G23" s="584"/>
    </row>
    <row r="24" spans="2:7" ht="30" customHeight="1">
      <c r="B24" s="86" t="s">
        <v>213</v>
      </c>
      <c r="C24" s="85"/>
      <c r="D24" s="152">
        <v>5500</v>
      </c>
      <c r="E24" s="133">
        <f t="shared" ref="E24:E25" si="7">D24*SEK</f>
        <v>5500</v>
      </c>
      <c r="F24" s="135">
        <f t="shared" ref="F24:F25" si="8">D24*EUR</f>
        <v>520.94899999999996</v>
      </c>
      <c r="G24" s="585"/>
    </row>
    <row r="25" spans="2:7" ht="30" customHeight="1">
      <c r="B25" s="136" t="s">
        <v>214</v>
      </c>
      <c r="C25" s="46"/>
      <c r="D25" s="151">
        <v>9500</v>
      </c>
      <c r="E25" s="132">
        <f t="shared" si="7"/>
        <v>9500</v>
      </c>
      <c r="F25" s="134">
        <f t="shared" si="8"/>
        <v>899.82099999999991</v>
      </c>
      <c r="G25" s="584"/>
    </row>
    <row r="26" spans="2:7" ht="30" customHeight="1">
      <c r="B26" s="86" t="s">
        <v>187</v>
      </c>
      <c r="C26" s="85"/>
      <c r="D26" s="152">
        <v>1.75</v>
      </c>
      <c r="E26" s="133">
        <f t="shared" si="5"/>
        <v>1.75</v>
      </c>
      <c r="F26" s="135">
        <f t="shared" si="6"/>
        <v>0.1657565</v>
      </c>
      <c r="G26" s="585"/>
    </row>
    <row r="27" spans="2:7" ht="30" customHeight="1">
      <c r="B27" s="136" t="s">
        <v>188</v>
      </c>
      <c r="C27" s="46"/>
      <c r="D27" s="151">
        <v>0.92</v>
      </c>
      <c r="E27" s="132">
        <f t="shared" ref="E27" si="9">D27*SEK</f>
        <v>0.92</v>
      </c>
      <c r="F27" s="134">
        <f t="shared" ref="F27" si="10">D27*EUR</f>
        <v>8.7140560000000006E-2</v>
      </c>
      <c r="G27" s="584"/>
    </row>
    <row r="28" spans="2:7" ht="30" customHeight="1">
      <c r="B28" s="538"/>
      <c r="C28" s="538"/>
      <c r="D28" s="538"/>
      <c r="E28" s="538"/>
      <c r="F28" s="538"/>
      <c r="G28" s="589"/>
    </row>
    <row r="29" spans="2:7" ht="30" customHeight="1">
      <c r="B29" s="126" t="s">
        <v>27</v>
      </c>
      <c r="C29" s="124"/>
      <c r="D29" s="125" t="s">
        <v>51</v>
      </c>
      <c r="E29" s="125" t="s">
        <v>111</v>
      </c>
      <c r="F29" s="125" t="s">
        <v>112</v>
      </c>
      <c r="G29" s="582" t="s">
        <v>312</v>
      </c>
    </row>
    <row r="30" spans="2:7" ht="30" customHeight="1">
      <c r="B30" s="136" t="s">
        <v>199</v>
      </c>
      <c r="C30" s="46"/>
      <c r="D30" s="451">
        <v>350</v>
      </c>
      <c r="E30" s="132">
        <f t="shared" ref="E30:E33" si="11">D30*SEK</f>
        <v>350</v>
      </c>
      <c r="F30" s="134">
        <f t="shared" ref="F30:F33" si="12">D30*EUR</f>
        <v>33.151299999999999</v>
      </c>
      <c r="G30" s="584">
        <v>0.35</v>
      </c>
    </row>
    <row r="31" spans="2:7" ht="30" customHeight="1">
      <c r="B31" s="634" t="s">
        <v>198</v>
      </c>
      <c r="C31" s="85"/>
      <c r="D31" s="451">
        <v>270</v>
      </c>
      <c r="E31" s="133">
        <f t="shared" si="11"/>
        <v>270</v>
      </c>
      <c r="F31" s="135">
        <f t="shared" si="12"/>
        <v>25.57386</v>
      </c>
      <c r="G31" s="585">
        <v>0.19</v>
      </c>
    </row>
    <row r="32" spans="2:7" ht="30" customHeight="1">
      <c r="B32" s="136" t="s">
        <v>197</v>
      </c>
      <c r="C32" s="46"/>
      <c r="D32" s="451">
        <v>200</v>
      </c>
      <c r="E32" s="132">
        <f t="shared" si="11"/>
        <v>200</v>
      </c>
      <c r="F32" s="134">
        <f t="shared" si="12"/>
        <v>18.9436</v>
      </c>
      <c r="G32" s="584">
        <v>0.1</v>
      </c>
    </row>
    <row r="33" spans="2:7" ht="30" customHeight="1">
      <c r="B33" s="634" t="s">
        <v>196</v>
      </c>
      <c r="C33" s="85"/>
      <c r="D33" s="451">
        <v>185</v>
      </c>
      <c r="E33" s="133">
        <f t="shared" si="11"/>
        <v>185</v>
      </c>
      <c r="F33" s="135">
        <f t="shared" si="12"/>
        <v>17.522829999999999</v>
      </c>
      <c r="G33" s="585">
        <v>0.06</v>
      </c>
    </row>
    <row r="34" spans="2:7" ht="30" customHeight="1">
      <c r="B34" s="136" t="s">
        <v>200</v>
      </c>
      <c r="C34" s="46"/>
      <c r="D34" s="451" t="s">
        <v>74</v>
      </c>
      <c r="E34" s="159" t="str">
        <f>D34</f>
        <v>Be om offert</v>
      </c>
      <c r="F34" s="134" t="s">
        <v>212</v>
      </c>
      <c r="G34" s="584"/>
    </row>
    <row r="35" spans="2:7" ht="30" customHeight="1">
      <c r="B35" s="538"/>
      <c r="C35" s="538"/>
      <c r="D35" s="538"/>
      <c r="E35" s="538"/>
      <c r="F35" s="538"/>
      <c r="G35" s="589"/>
    </row>
    <row r="36" spans="2:7" ht="30" customHeight="1">
      <c r="B36" s="126" t="s">
        <v>130</v>
      </c>
      <c r="C36" s="124"/>
      <c r="D36" s="125" t="s">
        <v>51</v>
      </c>
      <c r="E36" s="125" t="s">
        <v>111</v>
      </c>
      <c r="F36" s="125" t="s">
        <v>112</v>
      </c>
      <c r="G36" s="582" t="s">
        <v>312</v>
      </c>
    </row>
    <row r="37" spans="2:7" ht="30" customHeight="1">
      <c r="B37" s="136" t="s">
        <v>167</v>
      </c>
      <c r="C37" s="46"/>
      <c r="D37" s="151">
        <v>20</v>
      </c>
      <c r="E37" s="132">
        <f t="shared" ref="E37:E43" si="13">D37*SEK</f>
        <v>20</v>
      </c>
      <c r="F37" s="134">
        <f>D37*EUR</f>
        <v>1.8943599999999998</v>
      </c>
      <c r="G37" s="584" t="s">
        <v>25</v>
      </c>
    </row>
    <row r="38" spans="2:7" ht="30" customHeight="1">
      <c r="B38" s="86" t="s">
        <v>168</v>
      </c>
      <c r="C38" s="85"/>
      <c r="D38" s="151">
        <v>0</v>
      </c>
      <c r="E38" s="133">
        <f t="shared" si="13"/>
        <v>0</v>
      </c>
      <c r="F38" s="135">
        <f t="shared" ref="F38:F43" si="14">D38*EUR</f>
        <v>0</v>
      </c>
      <c r="G38" s="585" t="s">
        <v>25</v>
      </c>
    </row>
    <row r="39" spans="2:7" ht="30" customHeight="1">
      <c r="B39" s="136" t="s">
        <v>173</v>
      </c>
      <c r="C39" s="46"/>
      <c r="D39" s="151">
        <v>0</v>
      </c>
      <c r="E39" s="132">
        <f t="shared" si="13"/>
        <v>0</v>
      </c>
      <c r="F39" s="134">
        <f t="shared" si="14"/>
        <v>0</v>
      </c>
      <c r="G39" s="584" t="s">
        <v>25</v>
      </c>
    </row>
    <row r="40" spans="2:7" ht="30" customHeight="1">
      <c r="B40" s="86" t="s">
        <v>174</v>
      </c>
      <c r="C40" s="85"/>
      <c r="D40" s="151">
        <v>0.25</v>
      </c>
      <c r="E40" s="133">
        <f t="shared" si="13"/>
        <v>0.25</v>
      </c>
      <c r="F40" s="135">
        <f>D40*EUR</f>
        <v>2.3679499999999999E-2</v>
      </c>
      <c r="G40" s="585" t="s">
        <v>25</v>
      </c>
    </row>
    <row r="41" spans="2:7" ht="30" customHeight="1">
      <c r="B41" s="136" t="s">
        <v>170</v>
      </c>
      <c r="C41" s="46"/>
      <c r="D41" s="151">
        <v>300</v>
      </c>
      <c r="E41" s="132">
        <f t="shared" si="13"/>
        <v>300</v>
      </c>
      <c r="F41" s="501">
        <f>D41*EUR</f>
        <v>28.415399999999998</v>
      </c>
      <c r="G41" s="584" t="s">
        <v>25</v>
      </c>
    </row>
    <row r="42" spans="2:7" ht="30" customHeight="1">
      <c r="B42" s="86" t="s">
        <v>172</v>
      </c>
      <c r="C42" s="85"/>
      <c r="D42" s="151">
        <v>0</v>
      </c>
      <c r="E42" s="133">
        <f t="shared" si="13"/>
        <v>0</v>
      </c>
      <c r="F42" s="135">
        <f t="shared" si="14"/>
        <v>0</v>
      </c>
      <c r="G42" s="585" t="s">
        <v>25</v>
      </c>
    </row>
    <row r="43" spans="2:7" ht="30" customHeight="1">
      <c r="B43" s="136" t="s">
        <v>171</v>
      </c>
      <c r="C43" s="46"/>
      <c r="D43" s="151">
        <v>0</v>
      </c>
      <c r="E43" s="132">
        <f t="shared" si="13"/>
        <v>0</v>
      </c>
      <c r="F43" s="134">
        <f t="shared" si="14"/>
        <v>0</v>
      </c>
      <c r="G43" s="584" t="s">
        <v>25</v>
      </c>
    </row>
    <row r="44" spans="2:7" ht="30" customHeight="1">
      <c r="B44" s="86" t="s">
        <v>169</v>
      </c>
      <c r="C44" s="85"/>
      <c r="D44" s="152">
        <v>0</v>
      </c>
      <c r="E44" s="133">
        <f t="shared" ref="E44" si="15">D44*SEK</f>
        <v>0</v>
      </c>
      <c r="F44" s="135">
        <f t="shared" ref="F44" si="16">D44*EUR</f>
        <v>0</v>
      </c>
      <c r="G44" s="585" t="s">
        <v>25</v>
      </c>
    </row>
    <row r="45" spans="2:7" ht="30" customHeight="1">
      <c r="B45" s="536"/>
      <c r="C45" s="536"/>
      <c r="D45" s="537"/>
      <c r="E45" s="536"/>
      <c r="F45" s="536"/>
      <c r="G45" s="588"/>
    </row>
    <row r="46" spans="2:7" ht="30" customHeight="1">
      <c r="B46" s="126" t="s">
        <v>129</v>
      </c>
      <c r="C46" s="124"/>
      <c r="D46" s="125" t="s">
        <v>51</v>
      </c>
      <c r="E46" s="125" t="s">
        <v>111</v>
      </c>
      <c r="F46" s="125" t="s">
        <v>112</v>
      </c>
      <c r="G46" s="582" t="s">
        <v>312</v>
      </c>
    </row>
    <row r="47" spans="2:7" ht="30" customHeight="1">
      <c r="B47" s="136" t="s">
        <v>136</v>
      </c>
      <c r="C47" s="46"/>
      <c r="D47" s="151">
        <v>78</v>
      </c>
      <c r="E47" s="132">
        <f t="shared" ref="E47:E53" si="17">D47*SEK</f>
        <v>78</v>
      </c>
      <c r="F47" s="134">
        <f>D47*EUR</f>
        <v>7.3880039999999996</v>
      </c>
      <c r="G47" s="584" t="s">
        <v>25</v>
      </c>
    </row>
    <row r="48" spans="2:7" ht="30" customHeight="1">
      <c r="B48" s="86" t="s">
        <v>86</v>
      </c>
      <c r="C48" s="85"/>
      <c r="D48" s="151">
        <v>1498</v>
      </c>
      <c r="E48" s="133">
        <f t="shared" si="17"/>
        <v>1498</v>
      </c>
      <c r="F48" s="135">
        <f>D48*EUR</f>
        <v>141.887564</v>
      </c>
      <c r="G48" s="585" t="s">
        <v>25</v>
      </c>
    </row>
    <row r="49" spans="2:9" ht="30" customHeight="1">
      <c r="B49" s="136" t="s">
        <v>133</v>
      </c>
      <c r="C49" s="46"/>
      <c r="D49" s="151">
        <v>9800</v>
      </c>
      <c r="E49" s="132">
        <f t="shared" si="17"/>
        <v>9800</v>
      </c>
      <c r="F49" s="134">
        <f>D49*EUR</f>
        <v>928.2364</v>
      </c>
      <c r="G49" s="584" t="s">
        <v>25</v>
      </c>
    </row>
    <row r="50" spans="2:9" ht="30" customHeight="1">
      <c r="B50" s="86" t="s">
        <v>132</v>
      </c>
      <c r="C50" s="85"/>
      <c r="D50" s="151"/>
      <c r="E50" s="157" t="s">
        <v>121</v>
      </c>
      <c r="F50" s="158" t="s">
        <v>179</v>
      </c>
      <c r="G50" s="585" t="s">
        <v>25</v>
      </c>
    </row>
    <row r="51" spans="2:9" ht="30" customHeight="1">
      <c r="B51" s="136" t="s">
        <v>135</v>
      </c>
      <c r="C51" s="46"/>
      <c r="D51" s="151"/>
      <c r="E51" s="159" t="s">
        <v>121</v>
      </c>
      <c r="F51" s="160" t="s">
        <v>179</v>
      </c>
      <c r="G51" s="584" t="s">
        <v>25</v>
      </c>
    </row>
    <row r="52" spans="2:9" ht="30" customHeight="1">
      <c r="B52" s="86" t="s">
        <v>134</v>
      </c>
      <c r="C52" s="85"/>
      <c r="D52" s="151"/>
      <c r="E52" s="157" t="s">
        <v>288</v>
      </c>
      <c r="F52" s="158" t="s">
        <v>289</v>
      </c>
      <c r="G52" s="585" t="s">
        <v>25</v>
      </c>
    </row>
    <row r="53" spans="2:9" ht="30" customHeight="1">
      <c r="B53" s="136" t="s">
        <v>84</v>
      </c>
      <c r="C53" s="46"/>
      <c r="D53" s="151">
        <v>400</v>
      </c>
      <c r="E53" s="132">
        <f t="shared" si="17"/>
        <v>400</v>
      </c>
      <c r="F53" s="134">
        <f>D53*EUR</f>
        <v>37.8872</v>
      </c>
      <c r="G53" s="584" t="s">
        <v>25</v>
      </c>
      <c r="I53" s="539"/>
    </row>
    <row r="54" spans="2:9" ht="30" customHeight="1">
      <c r="B54" s="536"/>
      <c r="C54" s="536"/>
      <c r="D54" s="537"/>
      <c r="E54" s="536"/>
      <c r="F54" s="536"/>
      <c r="G54" s="588"/>
      <c r="I54" s="539"/>
    </row>
    <row r="55" spans="2:9" ht="30" customHeight="1">
      <c r="B55" s="126" t="s">
        <v>87</v>
      </c>
      <c r="C55" s="124"/>
      <c r="D55" s="125" t="s">
        <v>51</v>
      </c>
      <c r="E55" s="125" t="s">
        <v>111</v>
      </c>
      <c r="F55" s="125" t="s">
        <v>112</v>
      </c>
      <c r="G55" s="582" t="s">
        <v>312</v>
      </c>
      <c r="I55" s="539"/>
    </row>
    <row r="56" spans="2:9" ht="30" customHeight="1">
      <c r="B56" s="136" t="s">
        <v>92</v>
      </c>
      <c r="C56" s="46"/>
      <c r="D56" s="151">
        <f>PAAS_man.kubernetes_EUR*10</f>
        <v>49000</v>
      </c>
      <c r="E56" s="132">
        <f t="shared" ref="E56:E61" si="18">D56*SEK</f>
        <v>49000</v>
      </c>
      <c r="F56" s="134">
        <v>4900</v>
      </c>
      <c r="G56" s="584" t="s">
        <v>25</v>
      </c>
      <c r="I56" s="539"/>
    </row>
    <row r="57" spans="2:9" ht="30" customHeight="1">
      <c r="B57" s="86" t="s">
        <v>93</v>
      </c>
      <c r="C57" s="85"/>
      <c r="D57" s="151">
        <f>PAAS_man.postgres.sql_EUR*10</f>
        <v>19500</v>
      </c>
      <c r="E57" s="133">
        <f t="shared" si="18"/>
        <v>19500</v>
      </c>
      <c r="F57" s="135">
        <v>1950</v>
      </c>
      <c r="G57" s="585" t="s">
        <v>25</v>
      </c>
      <c r="I57" s="539"/>
    </row>
    <row r="58" spans="2:9" ht="30" customHeight="1">
      <c r="B58" s="136" t="s">
        <v>94</v>
      </c>
      <c r="C58" s="46"/>
      <c r="D58" s="151">
        <f>PAAS_man.elasticsearch_EUR*10</f>
        <v>19500</v>
      </c>
      <c r="E58" s="132">
        <f t="shared" si="18"/>
        <v>19500</v>
      </c>
      <c r="F58" s="134">
        <v>1950</v>
      </c>
      <c r="G58" s="584" t="s">
        <v>25</v>
      </c>
      <c r="I58" s="539"/>
    </row>
    <row r="59" spans="2:9" ht="30" customHeight="1">
      <c r="B59" s="86" t="s">
        <v>95</v>
      </c>
      <c r="C59" s="85"/>
      <c r="D59" s="151">
        <f>PAAS_man.redis_EUR*10</f>
        <v>19000</v>
      </c>
      <c r="E59" s="133">
        <f t="shared" si="18"/>
        <v>19000</v>
      </c>
      <c r="F59" s="135">
        <v>1900</v>
      </c>
      <c r="G59" s="585" t="s">
        <v>25</v>
      </c>
      <c r="I59" s="539"/>
    </row>
    <row r="60" spans="2:9" ht="30" customHeight="1">
      <c r="B60" s="136" t="s">
        <v>96</v>
      </c>
      <c r="C60" s="46"/>
      <c r="D60" s="151">
        <f>PAAS_man.nats_EUR*10</f>
        <v>19500</v>
      </c>
      <c r="E60" s="132">
        <f t="shared" si="18"/>
        <v>19500</v>
      </c>
      <c r="F60" s="134">
        <v>1950</v>
      </c>
      <c r="G60" s="584" t="s">
        <v>25</v>
      </c>
    </row>
    <row r="61" spans="2:9" ht="30" customHeight="1">
      <c r="B61" s="86" t="s">
        <v>139</v>
      </c>
      <c r="C61" s="85"/>
      <c r="D61" s="151">
        <f>PAAS_man.mariadb_EUR*10</f>
        <v>19500</v>
      </c>
      <c r="E61" s="133">
        <f t="shared" si="18"/>
        <v>19500</v>
      </c>
      <c r="F61" s="135">
        <v>1950</v>
      </c>
      <c r="G61" s="585" t="s">
        <v>25</v>
      </c>
    </row>
    <row r="62" spans="2:9" ht="30" customHeight="1">
      <c r="B62" s="536"/>
      <c r="C62" s="536"/>
      <c r="D62" s="537"/>
      <c r="E62" s="536"/>
      <c r="F62" s="536"/>
      <c r="G62" s="588"/>
    </row>
    <row r="63" spans="2:9" ht="30" customHeight="1">
      <c r="B63" s="126" t="s">
        <v>148</v>
      </c>
      <c r="C63" s="124"/>
      <c r="D63" s="125" t="s">
        <v>51</v>
      </c>
      <c r="E63" s="125" t="s">
        <v>111</v>
      </c>
      <c r="F63" s="125" t="s">
        <v>112</v>
      </c>
      <c r="G63" s="582" t="s">
        <v>312</v>
      </c>
    </row>
    <row r="64" spans="2:9" ht="30" customHeight="1">
      <c r="B64" s="136" t="s">
        <v>205</v>
      </c>
      <c r="C64" s="46"/>
      <c r="D64" s="151">
        <v>1127</v>
      </c>
      <c r="E64" s="499">
        <f>D64*SEK</f>
        <v>1127</v>
      </c>
      <c r="F64" s="507">
        <f t="shared" ref="F64:F69" si="19">D64*EUR</f>
        <v>106.747186</v>
      </c>
      <c r="G64" s="584" t="s">
        <v>25</v>
      </c>
    </row>
    <row r="65" spans="2:7" ht="30" customHeight="1">
      <c r="B65" s="86" t="s">
        <v>206</v>
      </c>
      <c r="C65" s="85"/>
      <c r="D65" s="151">
        <v>1374</v>
      </c>
      <c r="E65" s="133">
        <f t="shared" ref="E65:E69" si="20">D65*SEK</f>
        <v>1374</v>
      </c>
      <c r="F65" s="508">
        <f t="shared" si="19"/>
        <v>130.14253199999999</v>
      </c>
      <c r="G65" s="585" t="s">
        <v>25</v>
      </c>
    </row>
    <row r="66" spans="2:7" ht="30" customHeight="1">
      <c r="B66" s="136" t="s">
        <v>207</v>
      </c>
      <c r="C66" s="46"/>
      <c r="D66" s="151">
        <v>1277</v>
      </c>
      <c r="E66" s="132">
        <f t="shared" si="20"/>
        <v>1277</v>
      </c>
      <c r="F66" s="509">
        <f t="shared" si="19"/>
        <v>120.954886</v>
      </c>
      <c r="G66" s="584" t="s">
        <v>25</v>
      </c>
    </row>
    <row r="67" spans="2:7" ht="30" customHeight="1">
      <c r="B67" s="86" t="s">
        <v>208</v>
      </c>
      <c r="C67" s="85"/>
      <c r="D67" s="151">
        <v>1374</v>
      </c>
      <c r="E67" s="133">
        <f t="shared" si="20"/>
        <v>1374</v>
      </c>
      <c r="F67" s="508">
        <f t="shared" si="19"/>
        <v>130.14253199999999</v>
      </c>
      <c r="G67" s="585" t="s">
        <v>25</v>
      </c>
    </row>
    <row r="68" spans="2:7" ht="30" customHeight="1">
      <c r="B68" s="136" t="s">
        <v>209</v>
      </c>
      <c r="C68" s="46"/>
      <c r="D68" s="151">
        <v>1139</v>
      </c>
      <c r="E68" s="132">
        <f t="shared" si="20"/>
        <v>1139</v>
      </c>
      <c r="F68" s="509">
        <f t="shared" si="19"/>
        <v>107.883802</v>
      </c>
      <c r="G68" s="584" t="s">
        <v>25</v>
      </c>
    </row>
    <row r="69" spans="2:7" ht="30" customHeight="1">
      <c r="B69" s="86" t="s">
        <v>210</v>
      </c>
      <c r="C69" s="85"/>
      <c r="D69" s="151">
        <v>1374</v>
      </c>
      <c r="E69" s="133">
        <f t="shared" si="20"/>
        <v>1374</v>
      </c>
      <c r="F69" s="508">
        <f t="shared" si="19"/>
        <v>130.14253199999999</v>
      </c>
      <c r="G69" s="585" t="s">
        <v>25</v>
      </c>
    </row>
  </sheetData>
  <sheetProtection algorithmName="SHA-512" hashValue="X4QoiUjBc8zrWyb5HU8pYxxvm2v0sVhvJb+y/Ajn+WPv4AwSewYxQTlwjVl2zB2QJZSKcbH0ZypSTDo6cUdpMA==" saltValue="7DhzCYDaNblkkq3XdM9d8g==" spinCount="100000" sheet="1" objects="1" scenarios="1"/>
  <phoneticPr fontId="2" type="noConversion"/>
  <conditionalFormatting sqref="J9">
    <cfRule type="cellIs" dxfId="56" priority="39" operator="greaterThan">
      <formula>0</formula>
    </cfRule>
  </conditionalFormatting>
  <conditionalFormatting sqref="J10">
    <cfRule type="cellIs" dxfId="55" priority="40" operator="greaterThan">
      <formula>0</formula>
    </cfRule>
  </conditionalFormatting>
  <conditionalFormatting sqref="D37 D39 D41 D43">
    <cfRule type="cellIs" dxfId="54" priority="38" operator="greaterThan">
      <formula>0</formula>
    </cfRule>
  </conditionalFormatting>
  <conditionalFormatting sqref="D38 D40 D42">
    <cfRule type="cellIs" dxfId="53" priority="37" operator="greaterThan">
      <formula>0</formula>
    </cfRule>
  </conditionalFormatting>
  <conditionalFormatting sqref="D44">
    <cfRule type="cellIs" dxfId="52" priority="36" operator="greaterThan">
      <formula>0</formula>
    </cfRule>
  </conditionalFormatting>
  <conditionalFormatting sqref="D19">
    <cfRule type="cellIs" dxfId="51" priority="27" operator="greaterThan">
      <formula>0</formula>
    </cfRule>
  </conditionalFormatting>
  <conditionalFormatting sqref="D20">
    <cfRule type="cellIs" dxfId="50" priority="26" operator="greaterThan">
      <formula>0</formula>
    </cfRule>
  </conditionalFormatting>
  <conditionalFormatting sqref="D3 D5 D7:D8">
    <cfRule type="cellIs" dxfId="49" priority="31" operator="greaterThan">
      <formula>0</formula>
    </cfRule>
  </conditionalFormatting>
  <conditionalFormatting sqref="D4 D6">
    <cfRule type="cellIs" dxfId="48" priority="30" operator="greaterThan">
      <formula>0</formula>
    </cfRule>
  </conditionalFormatting>
  <conditionalFormatting sqref="D59 D61">
    <cfRule type="cellIs" dxfId="47" priority="20" operator="greaterThan">
      <formula>0</formula>
    </cfRule>
  </conditionalFormatting>
  <conditionalFormatting sqref="D27">
    <cfRule type="cellIs" dxfId="46" priority="19" operator="greaterThan">
      <formula>0</formula>
    </cfRule>
  </conditionalFormatting>
  <conditionalFormatting sqref="D56 D58 D60">
    <cfRule type="cellIs" dxfId="45" priority="21" operator="greaterThan">
      <formula>0</formula>
    </cfRule>
  </conditionalFormatting>
  <conditionalFormatting sqref="D15">
    <cfRule type="cellIs" dxfId="44" priority="17" operator="greaterThan">
      <formula>0</formula>
    </cfRule>
  </conditionalFormatting>
  <conditionalFormatting sqref="D23">
    <cfRule type="cellIs" dxfId="43" priority="25" operator="greaterThan">
      <formula>0</formula>
    </cfRule>
  </conditionalFormatting>
  <conditionalFormatting sqref="D26">
    <cfRule type="cellIs" dxfId="42" priority="24" operator="greaterThan">
      <formula>0</formula>
    </cfRule>
  </conditionalFormatting>
  <conditionalFormatting sqref="D47 D49 D51 D53">
    <cfRule type="cellIs" dxfId="41" priority="23" operator="greaterThan">
      <formula>0</formula>
    </cfRule>
  </conditionalFormatting>
  <conditionalFormatting sqref="D48 D50 D52">
    <cfRule type="cellIs" dxfId="40" priority="22" operator="greaterThan">
      <formula>0</formula>
    </cfRule>
  </conditionalFormatting>
  <conditionalFormatting sqref="D30 D32 D34">
    <cfRule type="cellIs" dxfId="39" priority="16" operator="greaterThan">
      <formula>0</formula>
    </cfRule>
  </conditionalFormatting>
  <conditionalFormatting sqref="D31 D33">
    <cfRule type="cellIs" dxfId="38" priority="15" operator="greaterThan">
      <formula>0</formula>
    </cfRule>
  </conditionalFormatting>
  <conditionalFormatting sqref="D25">
    <cfRule type="cellIs" dxfId="37" priority="10" operator="greaterThan">
      <formula>0</formula>
    </cfRule>
  </conditionalFormatting>
  <conditionalFormatting sqref="D24">
    <cfRule type="cellIs" dxfId="36" priority="11" operator="greaterThan">
      <formula>0</formula>
    </cfRule>
  </conditionalFormatting>
  <conditionalFormatting sqref="D65 D67 D69">
    <cfRule type="cellIs" dxfId="35" priority="8" operator="greaterThan">
      <formula>0</formula>
    </cfRule>
  </conditionalFormatting>
  <conditionalFormatting sqref="D64 D66 D68">
    <cfRule type="cellIs" dxfId="34" priority="9" operator="greaterThan">
      <formula>0</formula>
    </cfRule>
  </conditionalFormatting>
  <conditionalFormatting sqref="D57">
    <cfRule type="cellIs" dxfId="33" priority="5" operator="greaterThan">
      <formula>0</formula>
    </cfRule>
  </conditionalFormatting>
  <conditionalFormatting sqref="K14">
    <cfRule type="cellIs" dxfId="32" priority="3" operator="greaterThan">
      <formula>0</formula>
    </cfRule>
  </conditionalFormatting>
  <conditionalFormatting sqref="K15">
    <cfRule type="cellIs" dxfId="31" priority="4" operator="greaterThan">
      <formula>0</formula>
    </cfRule>
  </conditionalFormatting>
  <conditionalFormatting sqref="D9:D10">
    <cfRule type="cellIs" dxfId="30" priority="2" operator="greaterThan">
      <formula>0</formula>
    </cfRule>
  </conditionalFormatting>
  <conditionalFormatting sqref="D11">
    <cfRule type="cellIs" dxfId="29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DA55C-3E04-43BC-9C10-F76F453885EF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c4dd6bfd-0b07-4feb-8f84-e45213ea2541"/>
    <ds:schemaRef ds:uri="http://purl.org/dc/dcmitype/"/>
    <ds:schemaRef ds:uri="http://schemas.openxmlformats.org/package/2006/metadata/core-properties"/>
    <ds:schemaRef ds:uri="b02d781b-7fa0-453e-8cce-8f68a10659e7"/>
  </ds:schemaRefs>
</ds:datastoreItem>
</file>

<file path=customXml/itemProps2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122</vt:i4>
      </vt:variant>
    </vt:vector>
  </HeadingPairs>
  <TitlesOfParts>
    <vt:vector size="127" baseType="lpstr">
      <vt:lpstr>EUR - Safespring priser 2020</vt:lpstr>
      <vt:lpstr>SEK - Safespring priser 2020</vt:lpstr>
      <vt:lpstr>NOK - Safespring priser 2020</vt:lpstr>
      <vt:lpstr>SUNET SEK -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IAAS_gpu_SUNET</vt:lpstr>
      <vt:lpstr>IAAS_nvme_EUR</vt:lpstr>
      <vt:lpstr>IAAS_nvme_SEK</vt:lpstr>
      <vt:lpstr>IAAS_nvme_SUNET</vt:lpstr>
      <vt:lpstr>IAAS_pcpu_EUR</vt:lpstr>
      <vt:lpstr>IAAS_pcpu_SEK</vt:lpstr>
      <vt:lpstr>IAAS_pcpu_SUNET</vt:lpstr>
      <vt:lpstr>IAAS_ram_EUR</vt:lpstr>
      <vt:lpstr>IAAS_ram_SEK</vt:lpstr>
      <vt:lpstr>IAAS_ram_SUNET</vt:lpstr>
      <vt:lpstr>IAAS_ram_sunet_b_m</vt:lpstr>
      <vt:lpstr>IAAS_ssd_EUR</vt:lpstr>
      <vt:lpstr>IAAS_ssd_SEK</vt:lpstr>
      <vt:lpstr>IAAS_ssd_SUNET</vt:lpstr>
      <vt:lpstr>IAAS_vcpu_EUR</vt:lpstr>
      <vt:lpstr>IAAS_vcpu_SEK</vt:lpstr>
      <vt:lpstr>IAAS_vcpu_SUNET</vt:lpstr>
      <vt:lpstr>IAAS_vcpu_sunet_b_m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S3_storage.100_SUNET</vt:lpstr>
      <vt:lpstr>S3_storage.1000_EUR</vt:lpstr>
      <vt:lpstr>S3_storage.1000_SEK</vt:lpstr>
      <vt:lpstr>S3_storage.1000_SUNET</vt:lpstr>
      <vt:lpstr>S3_storage.50_EUR</vt:lpstr>
      <vt:lpstr>S3_storage.50_SEK</vt:lpstr>
      <vt:lpstr>S3_storage.50_SUNET</vt:lpstr>
      <vt:lpstr>S3_storage.500_EUR</vt:lpstr>
      <vt:lpstr>S3_storage.500_SEK</vt:lpstr>
      <vt:lpstr>S3_storage.500_SUNET</vt:lpstr>
      <vt:lpstr>S3_storage.quote_EUR</vt:lpstr>
      <vt:lpstr>S3_storage.quote_SEK</vt:lpstr>
      <vt:lpstr>S3_storage.quote_SUNET</vt:lpstr>
      <vt:lpstr>Safespring.price.increase</vt:lpstr>
      <vt:lpstr>SEK</vt:lpstr>
      <vt:lpstr>sunet.price.increase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'NOK - Safespring priser 2020'!Utskriftsområde</vt:lpstr>
      <vt:lpstr>'SEK - Safespring priser 2020'!Utskriftsområde</vt:lpstr>
      <vt:lpstr>'SUNET SEK - priser 2020'!Utskriftsområde</vt:lpstr>
      <vt:lpstr>VOLUME_fast_EUR</vt:lpstr>
      <vt:lpstr>VOLUME_fast_SEK</vt:lpstr>
      <vt:lpstr>VOLUME_fast_SUNET</vt:lpstr>
      <vt:lpstr>VOLUME_large_EUR</vt:lpstr>
      <vt:lpstr>VOLUME_large_SEK</vt:lpstr>
      <vt:lpstr>VOLUME_large_SUNET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/>
  <cp:keywords/>
  <dc:description/>
  <cp:lastModifiedBy>Marcus Boberg</cp:lastModifiedBy>
  <cp:revision/>
  <dcterms:created xsi:type="dcterms:W3CDTF">2015-05-31T16:02:08Z</dcterms:created>
  <dcterms:modified xsi:type="dcterms:W3CDTF">2020-09-25T11:55:11Z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