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safespring/Documents/github/web/static/pricelist/SEK/"/>
    </mc:Choice>
  </mc:AlternateContent>
  <xr:revisionPtr revIDLastSave="0" documentId="13_ncr:1_{4B17B2C7-807F-5B41-9178-B1273A464CC7}" xr6:coauthVersionLast="45" xr6:coauthVersionMax="45" xr10:uidLastSave="{00000000-0000-0000-0000-000000000000}"/>
  <bookViews>
    <workbookView xWindow="0" yWindow="460" windowWidth="51200" windowHeight="28340" tabRatio="530" activeTab="1" xr2:uid="{00000000-000D-0000-FFFF-FFFF00000000}"/>
  </bookViews>
  <sheets>
    <sheet name="EUR - Safespring priser 2020" sheetId="8" state="hidden" r:id="rId1"/>
    <sheet name="SEK - Safespring priser 2020" sheetId="3" r:id="rId2"/>
    <sheet name="Data" sheetId="4" state="hidden" r:id="rId3"/>
  </sheets>
  <definedNames>
    <definedName name="BAAS_large_EUR">Data!$F$24</definedName>
    <definedName name="BAAS_large_SEK">Data!$E$24</definedName>
    <definedName name="BAAS_large.fee_EUR">Data!$F$22</definedName>
    <definedName name="BAAS_large.fee_SEK">Data!$E$22</definedName>
    <definedName name="BAAS_on.demand_EUR">Data!$F$20</definedName>
    <definedName name="BAAS_on.demand_SEK">Data!$E$20</definedName>
    <definedName name="BAAS_small_EUR">Data!$F$23</definedName>
    <definedName name="BAAS_small_SEK">Data!$E$23</definedName>
    <definedName name="BAAS_small.fee_EUR">Data!$F$21</definedName>
    <definedName name="BAAS_small.fee_SEK">Data!$E$21</definedName>
    <definedName name="EUR">Data!$K$4</definedName>
    <definedName name="IAAS_gpu_EUR">Data!$F$7</definedName>
    <definedName name="IAAS_gpu_SEK">Data!$E$7</definedName>
    <definedName name="IAAS_nvme_EUR">Data!$F$6</definedName>
    <definedName name="IAAS_nvme_SEK">Data!$E$6</definedName>
    <definedName name="IAAS_pcpu_EUR">Data!$F$8</definedName>
    <definedName name="IAAS_pcpu_SEK">Data!$E$8</definedName>
    <definedName name="IAAS_ram_EUR">Data!$F$3</definedName>
    <definedName name="IAAS_ram_SEK">Data!$E$3</definedName>
    <definedName name="IAAS_ssd_EUR">Data!$F$4</definedName>
    <definedName name="IAAS_ssd_SEK">Data!$E$4</definedName>
    <definedName name="IAAS_vcpu_EUR">Data!$F$5</definedName>
    <definedName name="IAAS_vcpu_SEK">Data!$E$5</definedName>
    <definedName name="INSTANCE_p1.2xlarge.16d_EUR">Data!$F$11</definedName>
    <definedName name="INSTANCE_p1.2xlarge.16d_SEK">Data!$E$11</definedName>
    <definedName name="INSTANCE_p1.4xlarge.16d_EUR">Data!$F$12</definedName>
    <definedName name="INSTANCE_p1.4xlarge.16d_SEK">Data!$E$12</definedName>
    <definedName name="INSTANCE_p1.8xlarge.32d_EUR">Data!$F$13</definedName>
    <definedName name="INSTANCE_p1.8xlarge.32d_SEK">Data!$E$13</definedName>
    <definedName name="NET_byoip_EUR">Data!$F$41</definedName>
    <definedName name="NET_byoip_SEK">Data!$E$41</definedName>
    <definedName name="NET_egress_EUR">Data!$F$37</definedName>
    <definedName name="NET_egress_SEK">Data!$E$37</definedName>
    <definedName name="NET_ingress_EUR">Data!$F$36</definedName>
    <definedName name="NET_ingress_SEK">Data!$E$36</definedName>
    <definedName name="NET_mgn.slb_EUR">Data!$F$38</definedName>
    <definedName name="NET_mgn.slb_SEK">Data!$E$38</definedName>
    <definedName name="NET_publicv4_EUR">Data!$F$34</definedName>
    <definedName name="NET_publicv4_SEK">Data!$E$34</definedName>
    <definedName name="NET_publicv6_EUR">Data!$F$35</definedName>
    <definedName name="NET_publicv6_SEK">Data!$E$35</definedName>
    <definedName name="NET_rdns_EUR">Data!$F$39</definedName>
    <definedName name="NET_rdns_SEK">Data!$E$39</definedName>
    <definedName name="NET_saferoute_EUR">Data!$F$40</definedName>
    <definedName name="NET_saferoute_SEK">Data!$E$40</definedName>
    <definedName name="NOK">Data!$K$5</definedName>
    <definedName name="PAAS_man.elasticsearch_EUR">Data!$F$55</definedName>
    <definedName name="PAAS_man.elasticsearch_SEK">Data!$E$55</definedName>
    <definedName name="PAAS_man.kubernetes_EUR">Data!$F$53</definedName>
    <definedName name="PAAS_man.kubernetes_SEK">Data!$E$53</definedName>
    <definedName name="PAAS_man.mariadb_EUR">Data!$F$58</definedName>
    <definedName name="PAAS_man.mariadb_SEK">Data!$E$58</definedName>
    <definedName name="PAAS_man.nats_EUR">Data!$F$57</definedName>
    <definedName name="PAAS_man.nats_SEK">Data!$E$57</definedName>
    <definedName name="PAAS_man.postgres.sql_EUR">Data!$F$54</definedName>
    <definedName name="PAAS_man.postgres.sql_SEK">Data!$E$54</definedName>
    <definedName name="PAAS_man.redis_EUR">Data!$F$56</definedName>
    <definedName name="PAAS_man.redis_SEK">Data!$E$56</definedName>
    <definedName name="PRICE_total">'EUR - Safespring priser 2020'!$J$219</definedName>
    <definedName name="PS_cloudarch.jun_EUR">Data!$F$63</definedName>
    <definedName name="PS_cloudarch.jun_SEK">Data!$E$63</definedName>
    <definedName name="PS_cloudarch.sen_EUR">Data!$F$64</definedName>
    <definedName name="PS_cloudarch.sen_SEK">Data!$E$64</definedName>
    <definedName name="PS_consult.jun_EUR">Data!$F$61</definedName>
    <definedName name="PS_consult.jun_SEK">Data!$E$61</definedName>
    <definedName name="PS_consult.sen_EUR">Data!$F$62</definedName>
    <definedName name="PS_consult.sen_SEK">Data!$E$62</definedName>
    <definedName name="PS_pm.jun_EUR">Data!$F$65</definedName>
    <definedName name="PS_pm.jun_SEK">Data!$E$65</definedName>
    <definedName name="PS_pm.sen_EUR">Data!$F$66</definedName>
    <definedName name="PS_pm.sen_SEK">Data!$E$66</definedName>
    <definedName name="S3_storage.100_EUR">Data!$F$28</definedName>
    <definedName name="S3_storage.100_SEK">Data!$E$28</definedName>
    <definedName name="S3_storage.1000_EUR">Data!$F$30</definedName>
    <definedName name="S3_storage.1000_SEK">Data!$E$30</definedName>
    <definedName name="S3_storage.50_EUR">Data!$F$27</definedName>
    <definedName name="S3_storage.50_SEK">Data!$E$27</definedName>
    <definedName name="S3_storage.500_EUR">Data!$F$29</definedName>
    <definedName name="S3_storage.500_SEK">Data!$E$29</definedName>
    <definedName name="S3_storage.quote_EUR">Data!$F$31</definedName>
    <definedName name="S3_storage.quote_SEK">Data!$E$31</definedName>
    <definedName name="SEK">Data!$K$3</definedName>
    <definedName name="SW_backup.ninja_EUR">Data!$F$50</definedName>
    <definedName name="SW_backup.ninja_SEK">Data!$E$50</definedName>
    <definedName name="SW_cluster.control_EUR">Data!$F$49</definedName>
    <definedName name="SW_cluster.control_SEK">Data!$E$49</definedName>
    <definedName name="SW_ms.sql.ser_EUR">Data!$F$45</definedName>
    <definedName name="SW_ms.sql.ser_SEK">Data!$E$45</definedName>
    <definedName name="SW_nextcloud_EUR">Data!$F$47</definedName>
    <definedName name="SW_nextcloud_SEK">Data!$E$47</definedName>
    <definedName name="SW_stackn_EUR">Data!$F$46</definedName>
    <definedName name="SW_stackn_SEK">Data!$E$46</definedName>
    <definedName name="SW_suse_EUR">Data!$F$48</definedName>
    <definedName name="SW_suse_SEK">Data!$E$48</definedName>
    <definedName name="SW_suse_SEUR">Data!$F$48</definedName>
    <definedName name="SW_win.ser.201X_EUR">Data!$F$44</definedName>
    <definedName name="SW_win.ser.201X_SEK">Data!$E$44</definedName>
    <definedName name="_xlnm.Print_Area" localSheetId="0">'EUR - Safespring priser 2020'!$I$41:$K$59</definedName>
    <definedName name="_xlnm.Print_Area" localSheetId="1">'SEK - Safespring priser 2020'!$A$1:$O$201</definedName>
    <definedName name="VOLUME_fast_EUR">Data!$F$17</definedName>
    <definedName name="VOLUME_fast_SEK">Data!$E$17</definedName>
    <definedName name="VOLUME_large_EUR">Data!$F$16</definedName>
    <definedName name="VOLUME_large_SEK">Data!$E$16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8" l="1"/>
  <c r="H67" i="3" l="1"/>
  <c r="G67" i="3" s="1"/>
  <c r="L67" i="3"/>
  <c r="M67" i="3"/>
  <c r="N67" i="3"/>
  <c r="H68" i="3"/>
  <c r="G68" i="3" s="1"/>
  <c r="M68" i="3"/>
  <c r="N68" i="3"/>
  <c r="H65" i="3"/>
  <c r="G65" i="3" s="1"/>
  <c r="L65" i="3"/>
  <c r="M65" i="3"/>
  <c r="N65" i="3"/>
  <c r="H66" i="3"/>
  <c r="G66" i="3" s="1"/>
  <c r="M66" i="3"/>
  <c r="N66" i="3"/>
  <c r="H43" i="3"/>
  <c r="G43" i="3" s="1"/>
  <c r="M43" i="3"/>
  <c r="N43" i="3"/>
  <c r="H44" i="3"/>
  <c r="G44" i="3" s="1"/>
  <c r="N44" i="3"/>
  <c r="H45" i="3"/>
  <c r="G45" i="3" s="1"/>
  <c r="M45" i="3"/>
  <c r="N45" i="3"/>
  <c r="H46" i="3"/>
  <c r="G46" i="3" s="1"/>
  <c r="M46" i="3"/>
  <c r="N46" i="3"/>
  <c r="H47" i="3"/>
  <c r="G47" i="3" s="1"/>
  <c r="M47" i="3"/>
  <c r="N47" i="3"/>
  <c r="H48" i="3"/>
  <c r="G48" i="3" s="1"/>
  <c r="N48" i="3"/>
  <c r="H49" i="3"/>
  <c r="G49" i="3" s="1"/>
  <c r="M49" i="3"/>
  <c r="N49" i="3"/>
  <c r="H50" i="3"/>
  <c r="G50" i="3" s="1"/>
  <c r="M50" i="3"/>
  <c r="N50" i="3"/>
  <c r="H51" i="3"/>
  <c r="G51" i="3" s="1"/>
  <c r="M51" i="3"/>
  <c r="N51" i="3"/>
  <c r="H52" i="3"/>
  <c r="G52" i="3" s="1"/>
  <c r="N52" i="3"/>
  <c r="H53" i="3"/>
  <c r="G53" i="3" s="1"/>
  <c r="M53" i="3"/>
  <c r="N53" i="3"/>
  <c r="H54" i="3"/>
  <c r="G54" i="3" s="1"/>
  <c r="M54" i="3"/>
  <c r="N54" i="3"/>
  <c r="H55" i="3"/>
  <c r="G55" i="3" s="1"/>
  <c r="M55" i="3"/>
  <c r="N55" i="3"/>
  <c r="H56" i="3"/>
  <c r="G56" i="3" s="1"/>
  <c r="N56" i="3"/>
  <c r="H57" i="3"/>
  <c r="G57" i="3" s="1"/>
  <c r="M57" i="3"/>
  <c r="N57" i="3"/>
  <c r="H58" i="3"/>
  <c r="G58" i="3" s="1"/>
  <c r="M58" i="3"/>
  <c r="N58" i="3"/>
  <c r="H59" i="3"/>
  <c r="G59" i="3" s="1"/>
  <c r="M59" i="3"/>
  <c r="N59" i="3"/>
  <c r="H41" i="3"/>
  <c r="G41" i="3" s="1"/>
  <c r="N41" i="3"/>
  <c r="H42" i="3"/>
  <c r="G42" i="3" s="1"/>
  <c r="N42" i="3"/>
  <c r="H67" i="8"/>
  <c r="G67" i="8" s="1"/>
  <c r="L67" i="8"/>
  <c r="N67" i="8"/>
  <c r="G68" i="8"/>
  <c r="H68" i="8"/>
  <c r="M68" i="8" s="1"/>
  <c r="L68" i="8"/>
  <c r="N68" i="8"/>
  <c r="H65" i="8"/>
  <c r="G65" i="8" s="1"/>
  <c r="L65" i="8"/>
  <c r="M65" i="8"/>
  <c r="N65" i="8"/>
  <c r="H66" i="8"/>
  <c r="M66" i="8" s="1"/>
  <c r="L66" i="8"/>
  <c r="N66" i="8"/>
  <c r="H43" i="8"/>
  <c r="G43" i="8" s="1"/>
  <c r="L43" i="8"/>
  <c r="N43" i="8"/>
  <c r="H44" i="8"/>
  <c r="M44" i="8" s="1"/>
  <c r="L44" i="8"/>
  <c r="L45" i="8" s="1"/>
  <c r="L46" i="8" s="1"/>
  <c r="L47" i="8" s="1"/>
  <c r="L48" i="8" s="1"/>
  <c r="L49" i="8" s="1"/>
  <c r="L50" i="8" s="1"/>
  <c r="L51" i="8" s="1"/>
  <c r="L52" i="8" s="1"/>
  <c r="L53" i="8" s="1"/>
  <c r="N44" i="8"/>
  <c r="H45" i="8"/>
  <c r="G45" i="8" s="1"/>
  <c r="N45" i="8"/>
  <c r="G46" i="8"/>
  <c r="H46" i="8"/>
  <c r="M46" i="8"/>
  <c r="N46" i="8"/>
  <c r="H47" i="8"/>
  <c r="G47" i="8" s="1"/>
  <c r="N47" i="8"/>
  <c r="H48" i="8"/>
  <c r="M48" i="8" s="1"/>
  <c r="N48" i="8"/>
  <c r="H49" i="8"/>
  <c r="M49" i="8" s="1"/>
  <c r="N49" i="8"/>
  <c r="H50" i="8"/>
  <c r="M50" i="8" s="1"/>
  <c r="N50" i="8"/>
  <c r="H51" i="8"/>
  <c r="G51" i="8" s="1"/>
  <c r="M51" i="8"/>
  <c r="N51" i="8"/>
  <c r="H52" i="8"/>
  <c r="M52" i="8" s="1"/>
  <c r="N52" i="8"/>
  <c r="H53" i="8"/>
  <c r="M53" i="8" s="1"/>
  <c r="N53" i="8"/>
  <c r="H54" i="8"/>
  <c r="G54" i="8" s="1"/>
  <c r="M54" i="8"/>
  <c r="N54" i="8"/>
  <c r="H55" i="8"/>
  <c r="G55" i="8" s="1"/>
  <c r="M55" i="8"/>
  <c r="N55" i="8"/>
  <c r="H56" i="8"/>
  <c r="M56" i="8" s="1"/>
  <c r="N56" i="8"/>
  <c r="H57" i="8"/>
  <c r="G57" i="8" s="1"/>
  <c r="N57" i="8"/>
  <c r="H58" i="8"/>
  <c r="G58" i="8" s="1"/>
  <c r="M58" i="8"/>
  <c r="N58" i="8"/>
  <c r="H59" i="8"/>
  <c r="G59" i="8" s="1"/>
  <c r="M59" i="8"/>
  <c r="N59" i="8"/>
  <c r="H41" i="8"/>
  <c r="G41" i="8" s="1"/>
  <c r="L41" i="8"/>
  <c r="M41" i="8"/>
  <c r="N41" i="8"/>
  <c r="H42" i="8"/>
  <c r="M42" i="8" s="1"/>
  <c r="L42" i="8"/>
  <c r="N42" i="8"/>
  <c r="E8" i="4"/>
  <c r="G8" i="4"/>
  <c r="F8" i="4"/>
  <c r="H120" i="8"/>
  <c r="J84" i="8"/>
  <c r="K77" i="8"/>
  <c r="J77" i="8"/>
  <c r="I77" i="8"/>
  <c r="K69" i="8"/>
  <c r="J69" i="8"/>
  <c r="I69" i="8"/>
  <c r="K60" i="8"/>
  <c r="J60" i="8"/>
  <c r="I60" i="8"/>
  <c r="K36" i="8"/>
  <c r="J36" i="8"/>
  <c r="I36" i="8"/>
  <c r="H120" i="3"/>
  <c r="J84" i="3"/>
  <c r="K77" i="3"/>
  <c r="J77" i="3"/>
  <c r="I77" i="3"/>
  <c r="K69" i="3"/>
  <c r="J69" i="3"/>
  <c r="I69" i="3"/>
  <c r="K60" i="3"/>
  <c r="J60" i="3"/>
  <c r="I60" i="3"/>
  <c r="K36" i="3"/>
  <c r="J36" i="3"/>
  <c r="I36" i="3"/>
  <c r="N190" i="8"/>
  <c r="N189" i="8"/>
  <c r="N188" i="8"/>
  <c r="N187" i="8"/>
  <c r="N186" i="8"/>
  <c r="N185" i="8"/>
  <c r="F62" i="4"/>
  <c r="F63" i="4"/>
  <c r="F64" i="4"/>
  <c r="F65" i="4"/>
  <c r="F66" i="4"/>
  <c r="F61" i="4"/>
  <c r="H25" i="3"/>
  <c r="F37" i="4"/>
  <c r="F38" i="4"/>
  <c r="F34" i="4"/>
  <c r="D58" i="4"/>
  <c r="D57" i="4"/>
  <c r="D56" i="4"/>
  <c r="D55" i="4"/>
  <c r="D54" i="4"/>
  <c r="D53" i="4"/>
  <c r="N155" i="8"/>
  <c r="N75" i="8"/>
  <c r="N76" i="8"/>
  <c r="N74" i="8"/>
  <c r="N26" i="8"/>
  <c r="N27" i="8"/>
  <c r="N28" i="8"/>
  <c r="N29" i="8"/>
  <c r="N30" i="8"/>
  <c r="N31" i="8"/>
  <c r="N32" i="8"/>
  <c r="N33" i="8"/>
  <c r="N34" i="8"/>
  <c r="N35" i="8"/>
  <c r="N25" i="8"/>
  <c r="F4" i="4"/>
  <c r="H35" i="8"/>
  <c r="H25" i="8"/>
  <c r="H26" i="8"/>
  <c r="N145" i="3"/>
  <c r="N144" i="3"/>
  <c r="N143" i="3"/>
  <c r="N142" i="3"/>
  <c r="N141" i="3"/>
  <c r="N140" i="3"/>
  <c r="N139" i="3"/>
  <c r="N190" i="3"/>
  <c r="N189" i="3"/>
  <c r="N188" i="3"/>
  <c r="N187" i="3"/>
  <c r="N186" i="3"/>
  <c r="N185" i="3"/>
  <c r="E61" i="4"/>
  <c r="G61" i="4" s="1"/>
  <c r="E66" i="4"/>
  <c r="G66" i="4" s="1"/>
  <c r="E65" i="4"/>
  <c r="G65" i="4" s="1"/>
  <c r="E64" i="4"/>
  <c r="G64" i="4" s="1"/>
  <c r="E63" i="4"/>
  <c r="G63" i="4" s="1"/>
  <c r="E62" i="4"/>
  <c r="G62" i="4" s="1"/>
  <c r="N156" i="3"/>
  <c r="N155" i="3"/>
  <c r="N154" i="3"/>
  <c r="N153" i="3"/>
  <c r="N152" i="3"/>
  <c r="N151" i="3"/>
  <c r="N150" i="3"/>
  <c r="N149" i="3"/>
  <c r="N138" i="3"/>
  <c r="M56" i="3" l="1"/>
  <c r="M52" i="3"/>
  <c r="M48" i="3"/>
  <c r="M44" i="3"/>
  <c r="M41" i="3"/>
  <c r="M42" i="3"/>
  <c r="M67" i="8"/>
  <c r="G66" i="8"/>
  <c r="G50" i="8"/>
  <c r="M47" i="8"/>
  <c r="M43" i="8"/>
  <c r="L56" i="8"/>
  <c r="L57" i="8" s="1"/>
  <c r="L54" i="8"/>
  <c r="L55" i="8" s="1"/>
  <c r="L58" i="8" s="1"/>
  <c r="L59" i="8" s="1"/>
  <c r="G53" i="8"/>
  <c r="G49" i="8"/>
  <c r="M57" i="8"/>
  <c r="G56" i="8"/>
  <c r="G52" i="8"/>
  <c r="G48" i="8"/>
  <c r="M45" i="8"/>
  <c r="G44" i="8"/>
  <c r="G42" i="8"/>
  <c r="N77" i="8"/>
  <c r="N36" i="8"/>
  <c r="N69" i="8"/>
  <c r="N60" i="8"/>
  <c r="N154" i="8"/>
  <c r="N153" i="8"/>
  <c r="N118" i="8"/>
  <c r="F22" i="4"/>
  <c r="D119" i="8" s="1"/>
  <c r="E22" i="4"/>
  <c r="G22" i="4" s="1"/>
  <c r="F21" i="4"/>
  <c r="D118" i="8" s="1"/>
  <c r="E21" i="4"/>
  <c r="G21" i="4" s="1"/>
  <c r="D100" i="8"/>
  <c r="N119" i="8"/>
  <c r="L75" i="8"/>
  <c r="L26" i="8"/>
  <c r="L27" i="8" s="1"/>
  <c r="L28" i="8" s="1"/>
  <c r="L29" i="8" s="1"/>
  <c r="L30" i="8" s="1"/>
  <c r="L31" i="8" s="1"/>
  <c r="E31" i="4"/>
  <c r="D100" i="3" s="1"/>
  <c r="E27" i="4"/>
  <c r="D96" i="3" s="1"/>
  <c r="E28" i="4"/>
  <c r="G28" i="4" s="1"/>
  <c r="E29" i="4"/>
  <c r="G29" i="4" s="1"/>
  <c r="E30" i="4"/>
  <c r="G30" i="4" s="1"/>
  <c r="F29" i="4"/>
  <c r="D98" i="8" s="1"/>
  <c r="F27" i="4"/>
  <c r="D96" i="8" s="1"/>
  <c r="F30" i="4"/>
  <c r="D99" i="8" s="1"/>
  <c r="F28" i="4"/>
  <c r="D97" i="8" s="1"/>
  <c r="F12" i="4"/>
  <c r="H75" i="8" s="1"/>
  <c r="E12" i="4"/>
  <c r="G12" i="4" s="1"/>
  <c r="F24" i="4"/>
  <c r="F119" i="8" s="1"/>
  <c r="E24" i="4"/>
  <c r="G24" i="4" s="1"/>
  <c r="E3" i="4"/>
  <c r="G3" i="4" s="1"/>
  <c r="F3" i="4"/>
  <c r="E4" i="4"/>
  <c r="G4" i="4" s="1"/>
  <c r="E5" i="4"/>
  <c r="G5" i="4" s="1"/>
  <c r="F5" i="4"/>
  <c r="E6" i="4"/>
  <c r="G6" i="4" s="1"/>
  <c r="F6" i="4"/>
  <c r="L32" i="8" l="1"/>
  <c r="L33" i="8" s="1"/>
  <c r="L34" i="8" s="1"/>
  <c r="L35" i="8" s="1"/>
  <c r="G31" i="4"/>
  <c r="H34" i="8"/>
  <c r="H30" i="8"/>
  <c r="H33" i="8"/>
  <c r="G33" i="8" s="1"/>
  <c r="H29" i="8"/>
  <c r="G29" i="8" s="1"/>
  <c r="H32" i="8"/>
  <c r="H28" i="8"/>
  <c r="H31" i="8"/>
  <c r="H27" i="8"/>
  <c r="F104" i="8" a="1"/>
  <c r="F104" i="8" s="1"/>
  <c r="D98" i="3"/>
  <c r="G27" i="4"/>
  <c r="D99" i="3"/>
  <c r="D97" i="3"/>
  <c r="D11" i="4"/>
  <c r="F11" i="4" s="1"/>
  <c r="H74" i="8" s="1"/>
  <c r="H75" i="3"/>
  <c r="D13" i="4"/>
  <c r="F13" i="4" s="1"/>
  <c r="H76" i="8" s="1"/>
  <c r="F119" i="3"/>
  <c r="E11" i="4"/>
  <c r="K9" i="4"/>
  <c r="H35" i="3"/>
  <c r="H31" i="3"/>
  <c r="H27" i="3"/>
  <c r="H28" i="3"/>
  <c r="K10" i="4"/>
  <c r="H34" i="3"/>
  <c r="H30" i="3"/>
  <c r="H26" i="3"/>
  <c r="H32" i="3"/>
  <c r="H33" i="3"/>
  <c r="H29" i="3"/>
  <c r="N166" i="8"/>
  <c r="E58" i="4"/>
  <c r="N165" i="8"/>
  <c r="E57" i="4"/>
  <c r="N164" i="8"/>
  <c r="E56" i="4"/>
  <c r="N163" i="8"/>
  <c r="E55" i="4"/>
  <c r="N162" i="8"/>
  <c r="E54" i="4"/>
  <c r="N161" i="8"/>
  <c r="E53" i="4"/>
  <c r="E46" i="4"/>
  <c r="G46" i="4" s="1"/>
  <c r="F46" i="4"/>
  <c r="N152" i="8" s="1"/>
  <c r="E50" i="4"/>
  <c r="G50" i="4" s="1"/>
  <c r="F50" i="4"/>
  <c r="N156" i="8" s="1"/>
  <c r="F23" i="4"/>
  <c r="F118" i="8" s="1"/>
  <c r="E23" i="4"/>
  <c r="F20" i="4"/>
  <c r="F117" i="8" s="1"/>
  <c r="E20" i="4"/>
  <c r="F41" i="4"/>
  <c r="N145" i="8" s="1"/>
  <c r="E41" i="4"/>
  <c r="G41" i="4" s="1"/>
  <c r="F40" i="4"/>
  <c r="N144" i="8" s="1"/>
  <c r="F39" i="4"/>
  <c r="N143" i="8" s="1"/>
  <c r="E39" i="4"/>
  <c r="G39" i="4" s="1"/>
  <c r="N142" i="8"/>
  <c r="E38" i="4"/>
  <c r="G38" i="4" s="1"/>
  <c r="N141" i="8"/>
  <c r="E37" i="4"/>
  <c r="G37" i="4" s="1"/>
  <c r="F36" i="4"/>
  <c r="N140" i="8" s="1"/>
  <c r="E36" i="4"/>
  <c r="G36" i="4" s="1"/>
  <c r="F35" i="4"/>
  <c r="N139" i="8" s="1"/>
  <c r="E35" i="4"/>
  <c r="G35" i="4" s="1"/>
  <c r="N138" i="8"/>
  <c r="E34" i="4"/>
  <c r="G34" i="4" s="1"/>
  <c r="M33" i="8" l="1"/>
  <c r="M29" i="8"/>
  <c r="N117" i="8"/>
  <c r="N104" i="8" a="1"/>
  <c r="N104" i="8" s="1"/>
  <c r="N105" i="8" s="1"/>
  <c r="E104" i="8" a="1"/>
  <c r="E104" i="8" s="1"/>
  <c r="G75" i="8"/>
  <c r="M75" i="8"/>
  <c r="G25" i="8"/>
  <c r="M25" i="8"/>
  <c r="M32" i="8"/>
  <c r="G32" i="8"/>
  <c r="G31" i="8"/>
  <c r="M31" i="8"/>
  <c r="G26" i="8"/>
  <c r="M26" i="8"/>
  <c r="M166" i="3"/>
  <c r="G74" i="8"/>
  <c r="M74" i="8"/>
  <c r="M34" i="8"/>
  <c r="G34" i="8"/>
  <c r="M28" i="8"/>
  <c r="G28" i="8"/>
  <c r="G30" i="8"/>
  <c r="M30" i="8"/>
  <c r="G35" i="8"/>
  <c r="M35" i="8"/>
  <c r="G27" i="8"/>
  <c r="M27" i="8"/>
  <c r="G20" i="4"/>
  <c r="F117" i="3"/>
  <c r="G23" i="4"/>
  <c r="F118" i="3"/>
  <c r="E13" i="4"/>
  <c r="H76" i="3" s="1"/>
  <c r="G11" i="4"/>
  <c r="H74" i="3"/>
  <c r="G53" i="4"/>
  <c r="M161" i="3"/>
  <c r="G55" i="4"/>
  <c r="M163" i="3"/>
  <c r="G57" i="4"/>
  <c r="M165" i="3"/>
  <c r="G54" i="4"/>
  <c r="M162" i="3"/>
  <c r="G56" i="4"/>
  <c r="M164" i="3"/>
  <c r="G58" i="4"/>
  <c r="E40" i="4"/>
  <c r="G40" i="4" s="1"/>
  <c r="M36" i="8" l="1"/>
  <c r="M60" i="8"/>
  <c r="N120" i="8"/>
  <c r="M217" i="8" s="1"/>
  <c r="M216" i="8"/>
  <c r="G13" i="4"/>
  <c r="G76" i="8"/>
  <c r="M76" i="8"/>
  <c r="M77" i="8" s="1"/>
  <c r="F16" i="4"/>
  <c r="F82" i="8" s="1"/>
  <c r="F17" i="4"/>
  <c r="F83" i="8" s="1"/>
  <c r="E17" i="4"/>
  <c r="E16" i="4"/>
  <c r="E7" i="4"/>
  <c r="F7" i="4"/>
  <c r="E44" i="4"/>
  <c r="F44" i="4"/>
  <c r="E45" i="4"/>
  <c r="F45" i="4"/>
  <c r="N151" i="8" s="1"/>
  <c r="N149" i="8" l="1"/>
  <c r="N150" i="8"/>
  <c r="F83" i="3"/>
  <c r="N82" i="8"/>
  <c r="E82" i="8"/>
  <c r="N76" i="3"/>
  <c r="N75" i="3"/>
  <c r="N74" i="3"/>
  <c r="G16" i="4"/>
  <c r="F82" i="3"/>
  <c r="N27" i="3"/>
  <c r="N31" i="3"/>
  <c r="N35" i="3"/>
  <c r="N26" i="3"/>
  <c r="N28" i="3"/>
  <c r="N32" i="3"/>
  <c r="N30" i="3"/>
  <c r="N29" i="3"/>
  <c r="N33" i="3"/>
  <c r="N34" i="3"/>
  <c r="N25" i="3"/>
  <c r="G7" i="4"/>
  <c r="G45" i="4"/>
  <c r="G17" i="4"/>
  <c r="G44" i="4"/>
  <c r="N69" i="3" l="1"/>
  <c r="N36" i="3"/>
  <c r="N60" i="3"/>
  <c r="E83" i="8"/>
  <c r="N83" i="8"/>
  <c r="N84" i="8" s="1"/>
  <c r="N77" i="3"/>
  <c r="M69" i="8" l="1"/>
  <c r="M218" i="3"/>
  <c r="M218" i="8"/>
  <c r="M215" i="8" l="1"/>
  <c r="J219" i="8" s="1"/>
  <c r="F104" i="3" l="1" a="1"/>
  <c r="F104" i="3" s="1"/>
  <c r="G74" i="3"/>
  <c r="G75" i="3"/>
  <c r="G76" i="3"/>
  <c r="N104" i="3" l="1" a="1"/>
  <c r="N104" i="3" s="1"/>
  <c r="E104" i="3" a="1"/>
  <c r="E104" i="3" s="1"/>
  <c r="L75" i="3"/>
  <c r="N105" i="3" l="1"/>
  <c r="M216" i="3" s="1"/>
  <c r="M75" i="3"/>
  <c r="M76" i="3"/>
  <c r="M74" i="3"/>
  <c r="M77" i="3" l="1"/>
  <c r="M25" i="3" l="1"/>
  <c r="M60" i="3" l="1"/>
  <c r="N118" i="3"/>
  <c r="N119" i="3"/>
  <c r="M69" i="3" l="1"/>
  <c r="K11" i="4" l="1"/>
  <c r="G35" i="3" l="1"/>
  <c r="G34" i="3"/>
  <c r="N117" i="3"/>
  <c r="N120" i="3" s="1"/>
  <c r="M217" i="3" s="1"/>
  <c r="N83" i="3"/>
  <c r="N82" i="3"/>
  <c r="E83" i="3"/>
  <c r="E82" i="3"/>
  <c r="G33" i="3"/>
  <c r="G32" i="3"/>
  <c r="G31" i="3"/>
  <c r="G30" i="3"/>
  <c r="G29" i="3"/>
  <c r="G28" i="3"/>
  <c r="G27" i="3"/>
  <c r="G25" i="3"/>
  <c r="N84" i="3" l="1"/>
  <c r="G26" i="3"/>
  <c r="M34" i="3"/>
  <c r="M35" i="3"/>
  <c r="M29" i="3"/>
  <c r="M33" i="3"/>
  <c r="M27" i="3"/>
  <c r="M31" i="3"/>
  <c r="M26" i="3"/>
  <c r="M30" i="3"/>
  <c r="M28" i="3"/>
  <c r="M32" i="3"/>
  <c r="M36" i="3" l="1"/>
  <c r="M215" i="3" s="1"/>
  <c r="J219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<sst xmlns="http://schemas.openxmlformats.org/spreadsheetml/2006/main" count="802" uniqueCount="314">
  <si>
    <t>Kontakta Safespring</t>
  </si>
  <si>
    <t>Telefon: 08-55 10 73 56</t>
  </si>
  <si>
    <t>sales@safespring.se</t>
  </si>
  <si>
    <t>Safespring Compute</t>
  </si>
  <si>
    <t xml:space="preserve">   Infrastruktur kan köras med kostnadsfri opensource-licens eller med Windows-licens.</t>
  </si>
  <si>
    <t xml:space="preserve">   Alla priser är angivna i SEK, exklusive moms.</t>
  </si>
  <si>
    <r>
      <rPr>
        <sz val="11"/>
        <color theme="1"/>
        <rFont val="Montserrat Medium"/>
      </rPr>
      <t xml:space="preserve">   Instruktioner:</t>
    </r>
    <r>
      <rPr>
        <sz val="11"/>
        <color theme="1"/>
        <rFont val="Montserrat Light"/>
      </rPr>
      <t xml:space="preserve"> Fyll i önskad kvantitet i de färgade fälten. </t>
    </r>
  </si>
  <si>
    <t>Instanser med central blocklagring</t>
  </si>
  <si>
    <t>vCPU</t>
  </si>
  <si>
    <t>RAM (GB)</t>
  </si>
  <si>
    <t>Disk (GB)</t>
  </si>
  <si>
    <t>Per timme</t>
  </si>
  <si>
    <t>Per månad</t>
  </si>
  <si>
    <t>Antal instanser</t>
  </si>
  <si>
    <t>Windows-licenser</t>
  </si>
  <si>
    <t>SQL-licenser</t>
  </si>
  <si>
    <t>Infrastruktur</t>
  </si>
  <si>
    <t>Licenser</t>
  </si>
  <si>
    <t>Instanser</t>
  </si>
  <si>
    <t>Instanser med lokal lagring (NVMe-disk)</t>
  </si>
  <si>
    <t xml:space="preserve">  Totalt</t>
  </si>
  <si>
    <t>Extra lagring</t>
  </si>
  <si>
    <t xml:space="preserve"> Typ</t>
  </si>
  <si>
    <t>Per GB/månad</t>
  </si>
  <si>
    <t>Extra GB</t>
  </si>
  <si>
    <t>N/A</t>
  </si>
  <si>
    <t>GB</t>
  </si>
  <si>
    <t>Safespring Storage</t>
  </si>
  <si>
    <t xml:space="preserve">   Alla priser angivna i SEK, exklusive moms.</t>
  </si>
  <si>
    <t xml:space="preserve">  Typ</t>
  </si>
  <si>
    <t>Antal GB</t>
  </si>
  <si>
    <t>Storage</t>
  </si>
  <si>
    <t>Safespring Backup</t>
  </si>
  <si>
    <r>
      <rPr>
        <sz val="11"/>
        <color theme="1"/>
        <rFont val="Montserrat Medium"/>
      </rPr>
      <t xml:space="preserve">   Instruktioner: </t>
    </r>
    <r>
      <rPr>
        <sz val="11"/>
        <color theme="1"/>
        <rFont val="Montserrat Light"/>
      </rPr>
      <t xml:space="preserve">Fyll i önskad kvantitet i de färgade fälten. </t>
    </r>
  </si>
  <si>
    <t>Fast månadspris</t>
  </si>
  <si>
    <r>
      <t>Deduplicering</t>
    </r>
    <r>
      <rPr>
        <sz val="14"/>
        <color theme="6"/>
        <rFont val="Hind Light"/>
      </rPr>
      <t>*</t>
    </r>
  </si>
  <si>
    <t>Pris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</si>
  <si>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är en datareduktion som görs i tjänsten. Beroende på data varierar det normalt mellan 45%-90%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</si>
  <si>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 xml:space="preserve">Priset är per skyddad GB på klienten. 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</si>
  <si>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 xml:space="preserve">Priset är per lagrad GB i tjänsten efter deduplicering och komprimering. 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</si>
  <si>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Priset är per lagrad GB i tjänsten efter deduplicering och komprimering. Det ingår 1000GB i det fasta månadspriset.</t>
    </r>
  </si>
  <si>
    <t xml:space="preserve">  Produkt</t>
  </si>
  <si>
    <t>Månadskostnad</t>
  </si>
  <si>
    <t xml:space="preserve">  Safespring Compute</t>
  </si>
  <si>
    <t xml:space="preserve">  Safespring Storage</t>
  </si>
  <si>
    <t xml:space="preserve">  Safespring Backup</t>
  </si>
  <si>
    <t xml:space="preserve">  Licenser (Microsoft)</t>
  </si>
  <si>
    <t>Nätverk och Mjukvara</t>
  </si>
  <si>
    <t xml:space="preserve"> Nätverk</t>
  </si>
  <si>
    <t>Debitering per</t>
  </si>
  <si>
    <t>Publik</t>
  </si>
  <si>
    <t>Prissättning</t>
  </si>
  <si>
    <t xml:space="preserve">  RAM</t>
  </si>
  <si>
    <t xml:space="preserve">  vCPU</t>
  </si>
  <si>
    <t>Antal</t>
  </si>
  <si>
    <t xml:space="preserve"> Totalt</t>
  </si>
  <si>
    <t>Currency Factor</t>
  </si>
  <si>
    <t>Instances with central block storage</t>
  </si>
  <si>
    <t>Instances</t>
  </si>
  <si>
    <t>Infrastructure</t>
  </si>
  <si>
    <t>Instanser med GPU och lokal lagring (NVME-disk)</t>
  </si>
  <si>
    <t>INSTANCE-glm.large.1d</t>
  </si>
  <si>
    <t>INSTANCE-glm.xlarge.2d</t>
  </si>
  <si>
    <t>INSTANCE-glm.2xlarge.4d</t>
  </si>
  <si>
    <t>INSTANCE-glm.4xlarge.8d</t>
  </si>
  <si>
    <t xml:space="preserve">Bare Metal compute </t>
  </si>
  <si>
    <t>INSTANCE-p1.2xlarge.16d</t>
  </si>
  <si>
    <t>INSTANCE-p1.4xlarge.16d</t>
  </si>
  <si>
    <t>INSTANCE-p1.8xlarge.32d</t>
  </si>
  <si>
    <t>GPU</t>
  </si>
  <si>
    <t>CPU (p) core</t>
  </si>
  <si>
    <t>Per TB/månad</t>
  </si>
  <si>
    <t>Antal TB</t>
  </si>
  <si>
    <t>TB</t>
  </si>
  <si>
    <t>Be om offert</t>
  </si>
  <si>
    <t>S3-storage</t>
  </si>
  <si>
    <t>Windows Server 2016</t>
  </si>
  <si>
    <t>Windows Server 2019</t>
  </si>
  <si>
    <t>Microsft SQL Server</t>
  </si>
  <si>
    <t>Produkt ID</t>
  </si>
  <si>
    <t>Mjukvara och licenser</t>
  </si>
  <si>
    <t>SW-win.ser.2016</t>
  </si>
  <si>
    <t>SW-win.ser.2019</t>
  </si>
  <si>
    <t>Backup Ninja</t>
  </si>
  <si>
    <t>SW-backup.ninja</t>
  </si>
  <si>
    <t>Cluster Control Supported</t>
  </si>
  <si>
    <t>SW-ms.sql.ser</t>
  </si>
  <si>
    <t>Plattformstjänster</t>
  </si>
  <si>
    <t>Managed PostgresSQL</t>
  </si>
  <si>
    <t xml:space="preserve">Managed Elasticsearch </t>
  </si>
  <si>
    <t>Managed Redis</t>
  </si>
  <si>
    <t>Managed NATS</t>
  </si>
  <si>
    <t>PAAS-man.kubernetes</t>
  </si>
  <si>
    <t>PAAS-man.postgres.sql</t>
  </si>
  <si>
    <t>PAAS-man.elasticsearch</t>
  </si>
  <si>
    <t>PAAS-man.redis</t>
  </si>
  <si>
    <t>PAAS-man.nats</t>
  </si>
  <si>
    <t>0 - 50</t>
  </si>
  <si>
    <t>INSTANCE-b.tiny</t>
  </si>
  <si>
    <t>INSTANCE-b.small</t>
  </si>
  <si>
    <t>INSTANCE-b.medium</t>
  </si>
  <si>
    <t>INSTANCE-b.large</t>
  </si>
  <si>
    <t>INSTANCE-b.xlarge</t>
  </si>
  <si>
    <t>INSTANCE-m.small</t>
  </si>
  <si>
    <t>INSTANCE-m.medium</t>
  </si>
  <si>
    <t>INSTANCE-m.xlarge</t>
  </si>
  <si>
    <r>
      <t xml:space="preserve">BAAS-on.demand </t>
    </r>
    <r>
      <rPr>
        <sz val="11"/>
        <color theme="6"/>
        <rFont val="Montserrat Medium"/>
      </rPr>
      <t>**</t>
    </r>
  </si>
  <si>
    <r>
      <t xml:space="preserve">BAAS-small </t>
    </r>
    <r>
      <rPr>
        <sz val="11"/>
        <color theme="6"/>
        <rFont val="Montserrat Medium"/>
      </rPr>
      <t>****</t>
    </r>
  </si>
  <si>
    <r>
      <t xml:space="preserve">BAAS-large </t>
    </r>
    <r>
      <rPr>
        <sz val="11"/>
        <color theme="6"/>
        <rFont val="Montserrat Medium"/>
      </rPr>
      <t>***</t>
    </r>
  </si>
  <si>
    <t>NVME (GB)</t>
  </si>
  <si>
    <t>Prismodell baserat på antal lagrade TB, se tabellen nedan.</t>
  </si>
  <si>
    <t>SEK</t>
  </si>
  <si>
    <t>EUR</t>
  </si>
  <si>
    <t>NOK</t>
  </si>
  <si>
    <t>Valuta</t>
  </si>
  <si>
    <t>STACKn (Machine Learning), supported by provider</t>
  </si>
  <si>
    <t>Managed Kubernetes</t>
  </si>
  <si>
    <t>51 - 100</t>
  </si>
  <si>
    <t>101 - 500</t>
  </si>
  <si>
    <t>501 - 1000</t>
  </si>
  <si>
    <t xml:space="preserve">1001 - </t>
  </si>
  <si>
    <t>Begär offert</t>
  </si>
  <si>
    <t>Bring your own IP prefixes</t>
  </si>
  <si>
    <t>Datatrafik</t>
  </si>
  <si>
    <t>IPv6</t>
  </si>
  <si>
    <t>IPv4</t>
  </si>
  <si>
    <t xml:space="preserve">Managed SLB </t>
  </si>
  <si>
    <t>Saferoute / IP-VPN</t>
  </si>
  <si>
    <t>Reverse DNS names</t>
  </si>
  <si>
    <t>Mjukvara</t>
  </si>
  <si>
    <t>Nätverk</t>
  </si>
  <si>
    <t>Nextcloud Filesharing</t>
  </si>
  <si>
    <t>SW-nextcloud</t>
  </si>
  <si>
    <t>SW-stackn</t>
  </si>
  <si>
    <t>SW-cluster.control</t>
  </si>
  <si>
    <t>SW-suse</t>
  </si>
  <si>
    <t>SW-win.ser.2016 &amp; 2019</t>
  </si>
  <si>
    <t>SUSE Linux Enterprise Server, 12x5 Support</t>
  </si>
  <si>
    <t>SW-suse.linux</t>
  </si>
  <si>
    <t>PAAS-man.mariadb</t>
  </si>
  <si>
    <t>Managed MariaDB</t>
  </si>
  <si>
    <t>Cloud Infrastructure Consultant, junior expertise level</t>
  </si>
  <si>
    <t>Cloud infrastructure Consultant, senior expertise level</t>
  </si>
  <si>
    <t>Cloud Infrastructure Architect Consultant, junior expertise level</t>
  </si>
  <si>
    <t>Cloud Infrastructure Architect Consultant, senior expertise level</t>
  </si>
  <si>
    <t>Project Manager, junior expertise level</t>
  </si>
  <si>
    <t>Project Manager, senior expertise level</t>
  </si>
  <si>
    <t>Timme</t>
  </si>
  <si>
    <t>Konsulttjänster</t>
  </si>
  <si>
    <t>Utbildningar</t>
  </si>
  <si>
    <t>Tillfälle</t>
  </si>
  <si>
    <t>Längd</t>
  </si>
  <si>
    <t>En dag</t>
  </si>
  <si>
    <t>Fyra dagar</t>
  </si>
  <si>
    <t>Introduktion till "infrastruktur som tjänst"</t>
  </si>
  <si>
    <t>Molnstrategi för ledningsgrupper,</t>
  </si>
  <si>
    <t>Introduktion till moln-infrastrukturteknik,</t>
  </si>
  <si>
    <t>Modern DevOps och "microservices"</t>
  </si>
  <si>
    <t>Support och konsulttjänster</t>
  </si>
  <si>
    <t>Support</t>
  </si>
  <si>
    <t>Base IaaS Support</t>
  </si>
  <si>
    <t>Access to backchannel chat room with support and engineering</t>
  </si>
  <si>
    <t>Dedicated Service Manager with quarterly operations meetings</t>
  </si>
  <si>
    <t>SUPPORT-iaas.base</t>
  </si>
  <si>
    <t>SUPPORT-standard</t>
  </si>
  <si>
    <t>SUPPORT-premium</t>
  </si>
  <si>
    <t xml:space="preserve">  Kontakta Safespring för fullständig offert</t>
  </si>
  <si>
    <t>NET-publicv4</t>
  </si>
  <si>
    <t>NET-publicv6</t>
  </si>
  <si>
    <t>NET-byoip</t>
  </si>
  <si>
    <t>NET-mgn.slb</t>
  </si>
  <si>
    <t>NET-saferoute</t>
  </si>
  <si>
    <t>NET-rdns</t>
  </si>
  <si>
    <t>NET-ingress</t>
  </si>
  <si>
    <t>NET-egress</t>
  </si>
  <si>
    <t>1 TB/mån inkluderat per projekt (kostnadsfritt inom akademisk sektor)</t>
  </si>
  <si>
    <t>Instans</t>
  </si>
  <si>
    <t>Databas</t>
  </si>
  <si>
    <t>IP-adress</t>
  </si>
  <si>
    <t>Request a quote</t>
  </si>
  <si>
    <t>VOLUME-fast</t>
  </si>
  <si>
    <t>VOLUME-large</t>
  </si>
  <si>
    <t>SSD-backed 3-replica Ceph</t>
  </si>
  <si>
    <t>HDD-backed 3-replica Ceph</t>
  </si>
  <si>
    <t>Description</t>
  </si>
  <si>
    <t>Beskrivning</t>
  </si>
  <si>
    <t>BAAS-on.demand</t>
  </si>
  <si>
    <t>BAAS-small</t>
  </si>
  <si>
    <t>BAAS-large</t>
  </si>
  <si>
    <t>IAAS-ram</t>
  </si>
  <si>
    <t>IAAS-ssd</t>
  </si>
  <si>
    <t>IAAS-vcpu</t>
  </si>
  <si>
    <t>IAAS-nvme</t>
  </si>
  <si>
    <t>IAAS-gpu</t>
  </si>
  <si>
    <r>
      <t xml:space="preserve">IAAS-pcpu </t>
    </r>
    <r>
      <rPr>
        <sz val="11"/>
        <color theme="3"/>
        <rFont val="Montserrat Light"/>
      </rPr>
      <t>(beräknad)</t>
    </r>
  </si>
  <si>
    <t xml:space="preserve">  Objektlagring med standarden S3.</t>
  </si>
  <si>
    <t>S3-storage.1000</t>
  </si>
  <si>
    <t>S3-storage.500</t>
  </si>
  <si>
    <t>S3-storage.100</t>
  </si>
  <si>
    <t>S3-storage.50</t>
  </si>
  <si>
    <t>S3-storage.quote</t>
  </si>
  <si>
    <t>TRAIN-intro.iaas</t>
  </si>
  <si>
    <t>TRAIN-cxo.strategy</t>
  </si>
  <si>
    <t>TRAIN-intro.cloud</t>
  </si>
  <si>
    <t>TRAIN-devops.microservices</t>
  </si>
  <si>
    <t>PS-consult.jun</t>
  </si>
  <si>
    <t>PS-consult.sen</t>
  </si>
  <si>
    <t>PS-cloudarch.jun</t>
  </si>
  <si>
    <t>PS-cloudarch.sen</t>
  </si>
  <si>
    <t>PS-pm.jun</t>
  </si>
  <si>
    <t>PS-pm.sen</t>
  </si>
  <si>
    <t>INSTANCE-m.large</t>
  </si>
  <si>
    <t>Ask for quote</t>
  </si>
  <si>
    <t>BAAS-small.fee</t>
  </si>
  <si>
    <t>BAAS-large.fee</t>
  </si>
  <si>
    <t>Price calculator 2020-06-22</t>
  </si>
  <si>
    <t>Contact Safespring</t>
  </si>
  <si>
    <t>Currency</t>
  </si>
  <si>
    <t>All prices are in EUR, excluding VAT.</t>
  </si>
  <si>
    <r>
      <rPr>
        <sz val="11"/>
        <color theme="1"/>
        <rFont val="Montserrat Medium"/>
      </rPr>
      <t xml:space="preserve">   Instructions:</t>
    </r>
    <r>
      <rPr>
        <sz val="11"/>
        <color theme="1"/>
        <rFont val="Montserrat Light"/>
      </rPr>
      <t xml:space="preserve"> 
Enter the desired amount in the colored fields</t>
    </r>
  </si>
  <si>
    <t>Product ID</t>
  </si>
  <si>
    <t>Hourly</t>
  </si>
  <si>
    <t>Monthly</t>
  </si>
  <si>
    <t>Windows licenses</t>
  </si>
  <si>
    <t>SQL licenses</t>
  </si>
  <si>
    <t>Licenses</t>
  </si>
  <si>
    <t>Total</t>
  </si>
  <si>
    <t>Storage (GB)</t>
  </si>
  <si>
    <t>Instances with local storage (NVMe)</t>
  </si>
  <si>
    <t>Instances with GPU and local storage (NVMe)</t>
  </si>
  <si>
    <t>Extra Storage</t>
  </si>
  <si>
    <t>Per GB / Monthly</t>
  </si>
  <si>
    <t xml:space="preserve">  Object storage with S3 standard.</t>
  </si>
  <si>
    <t>Amount of TB</t>
  </si>
  <si>
    <t>Per TB/monthly</t>
  </si>
  <si>
    <t>Per TB / Monthly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</si>
  <si>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Deduplication is a data reduction done in the service. Depending on the data, it usually varies between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</si>
  <si>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The price is per protected GB on the client.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</si>
  <si>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The price is per GB stored in the service after deduplication and compression.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</si>
  <si>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The price is per GB stored in the service after deduplication and compression.     The service includes 1000GB in the fixed monthly price.</t>
    </r>
  </si>
  <si>
    <r>
      <t>Deduplication</t>
    </r>
    <r>
      <rPr>
        <sz val="14"/>
        <color theme="6"/>
        <rFont val="Hind Light"/>
      </rPr>
      <t>*</t>
    </r>
  </si>
  <si>
    <t>Per GB/month</t>
  </si>
  <si>
    <t>Monthly fee</t>
  </si>
  <si>
    <t>Network and software</t>
  </si>
  <si>
    <t xml:space="preserve"> Type</t>
  </si>
  <si>
    <t>Public</t>
  </si>
  <si>
    <t>Charge per</t>
  </si>
  <si>
    <t>Network</t>
  </si>
  <si>
    <t>Software and licenses</t>
  </si>
  <si>
    <t>Platform services</t>
  </si>
  <si>
    <t>Support and consulting</t>
  </si>
  <si>
    <t>Consulting</t>
  </si>
  <si>
    <t>Duration</t>
  </si>
  <si>
    <t>Price</t>
  </si>
  <si>
    <t>Occasion</t>
  </si>
  <si>
    <t>Hour</t>
  </si>
  <si>
    <t>Calculated price</t>
  </si>
  <si>
    <t>Contact Safespring for a full quote</t>
  </si>
  <si>
    <t xml:space="preserve">  Product</t>
  </si>
  <si>
    <t>Montly</t>
  </si>
  <si>
    <t>Bare metal compute</t>
  </si>
  <si>
    <t>Infrastructure as a service can run on a open source license or with a Windows license.</t>
  </si>
  <si>
    <t>Instance</t>
  </si>
  <si>
    <t>Total volume</t>
  </si>
  <si>
    <t>3 % of total volume</t>
  </si>
  <si>
    <t>* The support fee is charged at 3 % of the total volume with a minimum fee of 150 Euro per month.</t>
  </si>
  <si>
    <t>* The support fee is charged at 3 % of the total volume with a minimum fee of 1500 SEK per month.</t>
  </si>
  <si>
    <t xml:space="preserve">Instans </t>
  </si>
  <si>
    <t>INSTANCE-lb.tiny</t>
  </si>
  <si>
    <t>INSTANCE-lb.large.1d</t>
  </si>
  <si>
    <t>INSTANCE-lb.xlarge.1d</t>
  </si>
  <si>
    <t>INSTANCE-lb.2xlarge.1d</t>
  </si>
  <si>
    <t>INSTANCE-lb.2xlarge.2d</t>
  </si>
  <si>
    <t>INSTANCE-lb.4xlarge.1d</t>
  </si>
  <si>
    <t>INSTANCE-lb.4xlarge.2d</t>
  </si>
  <si>
    <t>INSTANCE-lb.4xlarge.4d</t>
  </si>
  <si>
    <t>INSTANCE-lm.large.1d</t>
  </si>
  <si>
    <t>INSTANCE-lm.xlarge.1d</t>
  </si>
  <si>
    <t>INSTANCE-lm.xlarge.2d</t>
  </si>
  <si>
    <t>INSTANCE-lm.xlarge.4d</t>
  </si>
  <si>
    <t>INSTANCE-lm.2xlarge.1d</t>
  </si>
  <si>
    <t>INSTANCE-lm.2xlarge.2d</t>
  </si>
  <si>
    <t>INSTANCE-lm.2xlarge.4d</t>
  </si>
  <si>
    <t>INSTANCE-lm.4xlarge.1d</t>
  </si>
  <si>
    <t>INSTANCE-lm.4xlarge.2d</t>
  </si>
  <si>
    <t>INSTANCE-lm.4xlarge.4d</t>
  </si>
  <si>
    <t>INSTANCE-lb.2xlarge.4d</t>
  </si>
  <si>
    <t>INSTANCE-b.2xlarge</t>
  </si>
  <si>
    <t>INSTANCE-m.2xlarge</t>
  </si>
  <si>
    <t>3x instanspris</t>
  </si>
  <si>
    <t>3x instance price</t>
  </si>
  <si>
    <t>Node</t>
  </si>
  <si>
    <t>Database</t>
  </si>
  <si>
    <t>Managed Elasticsearch + Grafana service</t>
  </si>
  <si>
    <t>Redis server</t>
  </si>
  <si>
    <t>Nats server</t>
  </si>
  <si>
    <t>Managed Kubernetes, for up to 20 nodes, 8x5 support</t>
  </si>
  <si>
    <t>1 TB / month included per project (no charges for the academic sector)</t>
  </si>
  <si>
    <t>Data transfer</t>
  </si>
  <si>
    <t>Price model based on the amount of terabyte stored at Safespring Storage</t>
  </si>
  <si>
    <t>Cloud backup solution for on-prem or cloud servers based on Spectrum Protect.</t>
  </si>
  <si>
    <t>sales@safespring.com</t>
  </si>
  <si>
    <t>3 % av total volym</t>
  </si>
  <si>
    <t>Total volym</t>
  </si>
  <si>
    <t>Totalt</t>
  </si>
  <si>
    <t>One day</t>
  </si>
  <si>
    <t>Four days</t>
  </si>
  <si>
    <t>Introduction to "infrastructure as a service"</t>
  </si>
  <si>
    <t>Cloud strategy for top management</t>
  </si>
  <si>
    <t>Introduction to cloud computing</t>
  </si>
  <si>
    <t>Modern DevOps and microservices</t>
  </si>
  <si>
    <t>Euro</t>
  </si>
  <si>
    <t>Phone: +46 855 10 73 56</t>
  </si>
  <si>
    <t>Priskalkylator 2020-06-23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</si>
</sst>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#,##0\ &quot;kr&quot;;[Red]\-#,##0\ &quot;kr&quot;"/>
    <numFmt numFmtId="8" formatCode="#,##0.00\ &quot;kr&quot;;[Red]\-#,##0.00\ &quot;kr&quot;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,##0.0000\ &quot;kr&quot;;[Red]\-#,##0.0000\ &quot;kr&quot;"/>
    <numFmt numFmtId="165" formatCode="_-* #,##0\ &quot;kr&quot;_-;\-* #,##0\ &quot;kr&quot;_-;_-* &quot;-&quot;??\ &quot;kr&quot;_-;_-@_-"/>
    <numFmt numFmtId="166" formatCode="_-* #,##0\ [$kr-41D]_-;\-* #,##0\ [$kr-41D]_-;_-* &quot;-&quot;??\ [$kr-41D]_-;_-@_-"/>
    <numFmt numFmtId="167" formatCode="_-* #,##0.00000\ &quot;kr&quot;_-;\-* #,##0.00000\ &quot;kr&quot;_-;_-* &quot;-&quot;??\ &quot;kr&quot;_-;_-@_-"/>
    <numFmt numFmtId="168" formatCode="#,##0\ &quot;kr&quot;"/>
    <numFmt numFmtId="169" formatCode="_-* #,##0.00\ [$€-1]_-;\-* #,##0.00\ [$€-1]_-;_-* &quot;-&quot;??\ [$€-1]_-;_-@_-"/>
    <numFmt numFmtId="170" formatCode="_-* #,##0_-;\-* #,##0_-;_-* &quot;-&quot;??_-;_-@_-"/>
    <numFmt numFmtId="171" formatCode="_-* #,##0.00\ [$SEK]_-;\-* #,##0.00\ [$SEK]_-;_-* &quot;-&quot;??\ [$SEK]_-;_-@_-"/>
    <numFmt numFmtId="172" formatCode="_-* #,##0.00\ [$NOK]_-;\-* #,##0.00\ [$NOK]_-;_-* &quot;-&quot;??\ [$NOK]_-;_-@_-"/>
    <numFmt numFmtId="173" formatCode="_-* #,##0.00\ [$EUR]_-;\-* #,##0.00\ [$EUR]_-;_-* &quot;-&quot;??\ [$EUR]_-;_-@_-"/>
    <numFmt numFmtId="174" formatCode="#,##0_ ;\-#,##0\ "/>
    <numFmt numFmtId="175" formatCode="_-* #,##0\ [$SEK]_-;\-* #,##0\ [$SEK]_-;_-* &quot;-&quot;??\ [$SEK]_-;_-@_-"/>
    <numFmt numFmtId="176" formatCode="_-* #,##0.000\ [$€-1]_-;\-* #,##0.000\ [$€-1]_-;_-* &quot;-&quot;??\ [$€-1]_-;_-@_-"/>
    <numFmt numFmtId="177" formatCode="_-* #,##0.000000\ [$€-1]_-;\-* #,##0.000000\ [$€-1]_-;_-* &quot;-&quot;??\ [$€-1]_-;_-@_-"/>
    <numFmt numFmtId="178" formatCode="0.0000"/>
    <numFmt numFmtId="179" formatCode="#,##0.00\ &quot;kr&quot;"/>
    <numFmt numFmtId="180" formatCode="[$€-2]\ #,##0.0000"/>
    <numFmt numFmtId="181" formatCode="_-* #,##0.000\ [$€-1]_-;\-* #,##0.000\ [$€-1]_-;_-* &quot;-&quot;???\ [$€-1]_-;_-@_-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8"/>
      <name val="Hind Light"/>
    </font>
    <font>
      <sz val="11"/>
      <color theme="3"/>
      <name val="Montserrat Light"/>
    </font>
    <font>
      <sz val="11"/>
      <color theme="8"/>
      <name val="Montserrat Light"/>
    </font>
    <font>
      <sz val="11"/>
      <color theme="1"/>
      <name val="Montserrat Light"/>
    </font>
    <font>
      <sz val="16"/>
      <color theme="3"/>
      <name val="Montserrat Light"/>
    </font>
    <font>
      <sz val="16"/>
      <color theme="8"/>
      <name val="Montserrat Light"/>
    </font>
    <font>
      <sz val="9"/>
      <color theme="1"/>
      <name val="Montserrat Light"/>
    </font>
    <font>
      <sz val="18"/>
      <color theme="8"/>
      <name val="Montserrat Light"/>
    </font>
    <font>
      <b/>
      <sz val="11"/>
      <color theme="3"/>
      <name val="Montserrat Light"/>
    </font>
    <font>
      <sz val="9"/>
      <color theme="3"/>
      <name val="Montserrat Light"/>
    </font>
    <font>
      <sz val="9"/>
      <color rgb="FF003959"/>
      <name val="Montserrat Light"/>
    </font>
    <font>
      <i/>
      <sz val="9"/>
      <name val="Montserrat Light"/>
    </font>
    <font>
      <sz val="11"/>
      <color rgb="FF003959"/>
      <name val="Montserrat Light"/>
    </font>
    <font>
      <sz val="12"/>
      <color theme="8"/>
      <name val="Montserrat Light"/>
    </font>
    <font>
      <i/>
      <sz val="11"/>
      <color theme="1"/>
      <name val="Montserrat Light"/>
    </font>
    <font>
      <i/>
      <sz val="11"/>
      <color theme="6"/>
      <name val="Montserrat Light"/>
    </font>
    <font>
      <sz val="11"/>
      <color theme="1" tint="0.59999389629810485"/>
      <name val="Montserrat Light"/>
    </font>
    <font>
      <sz val="11"/>
      <color theme="1"/>
      <name val="Montserrat Medium"/>
    </font>
    <font>
      <b/>
      <sz val="11"/>
      <color theme="1"/>
      <name val="Montserrat Medium"/>
    </font>
    <font>
      <sz val="18"/>
      <color theme="8"/>
      <name val="Hind Light"/>
    </font>
    <font>
      <sz val="14"/>
      <color theme="4"/>
      <name val="Hind Light"/>
    </font>
    <font>
      <sz val="14"/>
      <color theme="6"/>
      <name val="Hind Light"/>
    </font>
    <font>
      <sz val="9"/>
      <color theme="1"/>
      <name val="Hind Light"/>
    </font>
    <font>
      <sz val="11"/>
      <color theme="1"/>
      <name val="Hind Light"/>
    </font>
    <font>
      <sz val="14"/>
      <color theme="1"/>
      <name val="Hind Light"/>
    </font>
    <font>
      <sz val="14"/>
      <color theme="1"/>
      <name val="Montserrat Medium"/>
    </font>
    <font>
      <i/>
      <sz val="11"/>
      <color theme="1"/>
      <name val="Hind Light"/>
    </font>
    <font>
      <sz val="48"/>
      <color theme="9"/>
      <name val="Hind Light"/>
    </font>
    <font>
      <b/>
      <sz val="11"/>
      <color theme="3"/>
      <name val="Montserrat Medium"/>
    </font>
    <font>
      <sz val="11"/>
      <color theme="6"/>
      <name val="Montserrat Medium"/>
    </font>
    <font>
      <sz val="11"/>
      <color theme="1" tint="0.39997558519241921"/>
      <name val="Montserrat Regular"/>
    </font>
    <font>
      <sz val="9"/>
      <color theme="1" tint="0.39997558519241921"/>
      <name val="Montserrat Regular"/>
    </font>
    <font>
      <sz val="11"/>
      <color theme="6" tint="0.39997558519241921"/>
      <name val="Montserrat Regular"/>
    </font>
    <font>
      <sz val="11"/>
      <color theme="1" tint="0.39997558519241921"/>
      <name val="Montserrat Light"/>
    </font>
    <font>
      <sz val="14"/>
      <color theme="9"/>
      <name val="Montserrat Medium"/>
    </font>
    <font>
      <sz val="14"/>
      <color theme="8"/>
      <name val="Montserrat Medium"/>
    </font>
    <font>
      <sz val="9"/>
      <color theme="1"/>
      <name val="Montserrat Medium"/>
    </font>
    <font>
      <sz val="12"/>
      <color theme="1"/>
      <name val="Montserrat Medium"/>
    </font>
    <font>
      <u/>
      <sz val="11"/>
      <color theme="10"/>
      <name val="Calibri"/>
      <family val="2"/>
      <scheme val="minor"/>
    </font>
    <font>
      <sz val="16"/>
      <color theme="4"/>
      <name val="Hind Light"/>
    </font>
    <font>
      <u/>
      <sz val="11"/>
      <color theme="10"/>
      <name val="Montserrat Regular"/>
    </font>
    <font>
      <u/>
      <sz val="14"/>
      <color theme="10"/>
      <name val="Calibri"/>
      <family val="2"/>
      <scheme val="minor"/>
    </font>
    <font>
      <sz val="11"/>
      <color theme="3"/>
      <name val="Montserrat Medium"/>
    </font>
    <font>
      <sz val="12"/>
      <color theme="6"/>
      <name val="Hind Light"/>
    </font>
    <font>
      <sz val="10"/>
      <color theme="1"/>
      <name val="Montserrat Light"/>
    </font>
    <font>
      <sz val="14"/>
      <color theme="1"/>
      <name val="Montserrat Light"/>
    </font>
    <font>
      <sz val="14"/>
      <color theme="1"/>
      <name val="Calibri"/>
      <family val="2"/>
      <scheme val="minor"/>
    </font>
    <font>
      <sz val="8"/>
      <color theme="1"/>
      <name val="Montserrat 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F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 style="hair">
        <color theme="6" tint="0.39997558519241921"/>
      </bottom>
      <diagonal/>
    </border>
    <border>
      <left/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 style="hair">
        <color theme="4"/>
      </bottom>
      <diagonal/>
    </border>
    <border>
      <left/>
      <right/>
      <top style="hair">
        <color theme="4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6" tint="0.39997558519241921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4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 style="hair">
        <color theme="4" tint="0.59999389629810485"/>
      </bottom>
      <diagonal/>
    </border>
    <border>
      <left/>
      <right/>
      <top style="hair">
        <color theme="4" tint="0.59999389629810485"/>
      </top>
      <bottom style="hair">
        <color theme="4" tint="0.59999389629810485"/>
      </bottom>
      <diagonal/>
    </border>
    <border>
      <left/>
      <right style="hair">
        <color theme="6" tint="0.39997558519241921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6" tint="0.39997558519241921"/>
      </right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26">
    <xf numFmtId="0" fontId="0" fillId="0" borderId="0" xfId="0"/>
    <xf numFmtId="0" fontId="9" fillId="0" borderId="0" xfId="0" applyFont="1" applyFill="1" applyAlignment="1" applyProtection="1">
      <alignment vertical="center"/>
      <protection hidden="1"/>
    </xf>
    <xf numFmtId="0" fontId="9" fillId="4" borderId="0" xfId="0" applyFont="1" applyFill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protection hidden="1"/>
    </xf>
    <xf numFmtId="0" fontId="6" fillId="3" borderId="0" xfId="0" applyFont="1" applyFill="1" applyAlignment="1" applyProtection="1">
      <alignment horizontal="left" vertical="center"/>
      <protection hidden="1"/>
    </xf>
    <xf numFmtId="0" fontId="6" fillId="0" borderId="0" xfId="0" applyFont="1" applyAlignme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 readingOrder="1"/>
      <protection hidden="1"/>
    </xf>
    <xf numFmtId="0" fontId="23" fillId="0" borderId="1" xfId="0" applyFont="1" applyFill="1" applyBorder="1" applyAlignment="1" applyProtection="1">
      <alignment horizontal="left" readingOrder="1"/>
      <protection hidden="1"/>
    </xf>
    <xf numFmtId="0" fontId="23" fillId="0" borderId="1" xfId="0" applyFont="1" applyFill="1" applyBorder="1" applyAlignment="1" applyProtection="1">
      <alignment horizontal="center" readingOrder="1"/>
      <protection hidden="1"/>
    </xf>
    <xf numFmtId="0" fontId="23" fillId="0" borderId="1" xfId="0" applyFont="1" applyFill="1" applyBorder="1" applyAlignment="1" applyProtection="1">
      <alignment horizontal="right" readingOrder="1"/>
      <protection hidden="1"/>
    </xf>
    <xf numFmtId="0" fontId="25" fillId="0" borderId="0" xfId="0" applyFont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center" vertical="center" readingOrder="1"/>
      <protection hidden="1"/>
    </xf>
    <xf numFmtId="0" fontId="12" fillId="0" borderId="0" xfId="0" applyFont="1" applyFill="1" applyBorder="1" applyAlignment="1" applyProtection="1">
      <alignment horizontal="center" vertical="center" readingOrder="1"/>
      <protection hidden="1"/>
    </xf>
    <xf numFmtId="0" fontId="37" fillId="0" borderId="0" xfId="0" applyFont="1" applyFill="1" applyBorder="1" applyAlignment="1" applyProtection="1">
      <alignment horizontal="left" vertical="center" readingOrder="1"/>
      <protection hidden="1"/>
    </xf>
    <xf numFmtId="0" fontId="38" fillId="0" borderId="0" xfId="0" applyFont="1" applyFill="1" applyBorder="1" applyAlignment="1" applyProtection="1">
      <alignment horizontal="left" vertical="center" readingOrder="1"/>
      <protection hidden="1"/>
    </xf>
    <xf numFmtId="0" fontId="14" fillId="0" borderId="0" xfId="0" applyFont="1" applyFill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horizontal="left" readingOrder="1"/>
      <protection hidden="1"/>
    </xf>
    <xf numFmtId="0" fontId="10" fillId="0" borderId="0" xfId="0" applyFont="1" applyFill="1" applyBorder="1" applyAlignment="1" applyProtection="1">
      <alignment readingOrder="1"/>
      <protection hidden="1"/>
    </xf>
    <xf numFmtId="0" fontId="23" fillId="0" borderId="1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vertical="center" readingOrder="1"/>
      <protection hidden="1"/>
    </xf>
    <xf numFmtId="167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16" fillId="0" borderId="0" xfId="0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Alignment="1" applyProtection="1">
      <alignment horizontal="left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19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Border="1" applyAlignment="1" applyProtection="1">
      <alignment horizontal="left" vertical="center" readingOrder="1"/>
      <protection hidden="1"/>
    </xf>
    <xf numFmtId="166" fontId="6" fillId="0" borderId="0" xfId="0" applyNumberFormat="1" applyFont="1" applyFill="1" applyBorder="1" applyAlignment="1" applyProtection="1">
      <alignment horizontal="center" vertical="center" readingOrder="1"/>
      <protection hidden="1"/>
    </xf>
    <xf numFmtId="164" fontId="19" fillId="0" borderId="0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left" vertical="center" readingOrder="1"/>
      <protection hidden="1"/>
    </xf>
    <xf numFmtId="164" fontId="19" fillId="4" borderId="1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Border="1" applyAlignment="1" applyProtection="1">
      <alignment vertical="center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0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horizontal="left" vertical="center"/>
      <protection hidden="1"/>
    </xf>
    <xf numFmtId="0" fontId="4" fillId="4" borderId="0" xfId="0" applyFont="1" applyFill="1" applyBorder="1" applyAlignment="1" applyProtection="1">
      <alignment horizontal="left" vertical="center" readingOrder="1"/>
      <protection hidden="1"/>
    </xf>
    <xf numFmtId="0" fontId="11" fillId="4" borderId="0" xfId="0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vertical="center" readingOrder="1"/>
      <protection hidden="1"/>
    </xf>
    <xf numFmtId="6" fontId="3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0" xfId="0" applyNumberFormat="1" applyFont="1" applyFill="1" applyBorder="1" applyAlignment="1" applyProtection="1">
      <alignment vertical="center" shrinkToFit="1" readingOrder="1"/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right" vertical="center"/>
      <protection hidden="1"/>
    </xf>
    <xf numFmtId="0" fontId="16" fillId="4" borderId="0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vertical="center" readingOrder="1"/>
      <protection hidden="1"/>
    </xf>
    <xf numFmtId="0" fontId="23" fillId="4" borderId="1" xfId="0" applyFont="1" applyFill="1" applyBorder="1" applyAlignment="1" applyProtection="1">
      <alignment horizontal="center" vertical="center" readingOrder="1"/>
      <protection hidden="1"/>
    </xf>
    <xf numFmtId="0" fontId="37" fillId="4" borderId="0" xfId="0" applyFont="1" applyFill="1" applyBorder="1" applyAlignment="1" applyProtection="1">
      <alignment horizontal="left" vertical="center" readingOrder="1"/>
      <protection hidden="1"/>
    </xf>
    <xf numFmtId="0" fontId="38" fillId="4" borderId="0" xfId="0" applyFont="1" applyFill="1" applyBorder="1" applyAlignment="1" applyProtection="1">
      <alignment horizontal="left" vertical="center" readingOrder="1"/>
      <protection hidden="1"/>
    </xf>
    <xf numFmtId="0" fontId="16" fillId="0" borderId="1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center"/>
      <protection hidden="1"/>
    </xf>
    <xf numFmtId="0" fontId="4" fillId="4" borderId="0" xfId="0" applyFont="1" applyFill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 applyProtection="1">
      <alignment horizontal="left" vertical="center"/>
      <protection hidden="1"/>
    </xf>
    <xf numFmtId="0" fontId="9" fillId="4" borderId="0" xfId="0" applyFont="1" applyFill="1" applyAlignment="1" applyProtection="1">
      <alignment horizontal="left"/>
      <protection hidden="1"/>
    </xf>
    <xf numFmtId="0" fontId="17" fillId="0" borderId="1" xfId="0" applyFont="1" applyBorder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top"/>
      <protection hidden="1"/>
    </xf>
    <xf numFmtId="0" fontId="42" fillId="4" borderId="0" xfId="0" applyFont="1" applyFill="1" applyAlignment="1" applyProtection="1">
      <alignment horizontal="left"/>
      <protection hidden="1"/>
    </xf>
    <xf numFmtId="0" fontId="44" fillId="4" borderId="0" xfId="3" applyFont="1" applyFill="1" applyAlignment="1" applyProtection="1">
      <alignment horizontal="left" vertical="top" indent="1"/>
      <protection hidden="1"/>
    </xf>
    <xf numFmtId="164" fontId="19" fillId="4" borderId="14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14" xfId="0" applyFont="1" applyFill="1" applyBorder="1" applyAlignment="1" applyProtection="1">
      <alignment horizontal="left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left" vertical="center" readingOrder="1"/>
      <protection hidden="1"/>
    </xf>
    <xf numFmtId="0" fontId="45" fillId="4" borderId="0" xfId="0" applyFont="1" applyFill="1" applyBorder="1" applyAlignment="1" applyProtection="1">
      <alignment horizontal="left" vertical="center" readingOrder="1"/>
      <protection hidden="1"/>
    </xf>
    <xf numFmtId="0" fontId="45" fillId="0" borderId="0" xfId="0" applyFont="1" applyFill="1" applyBorder="1" applyAlignment="1" applyProtection="1">
      <alignment horizontal="left" vertical="center" readingOrder="1"/>
      <protection hidden="1"/>
    </xf>
    <xf numFmtId="0" fontId="6" fillId="3" borderId="0" xfId="0" applyFont="1" applyFill="1" applyAlignment="1" applyProtection="1">
      <alignment horizontal="left" vertical="top"/>
      <protection hidden="1"/>
    </xf>
    <xf numFmtId="8" fontId="16" fillId="0" borderId="0" xfId="0" applyNumberFormat="1" applyFont="1" applyFill="1" applyBorder="1" applyAlignment="1" applyProtection="1">
      <alignment horizontal="left" vertical="center" readingOrder="1"/>
      <protection hidden="1"/>
    </xf>
    <xf numFmtId="8" fontId="16" fillId="0" borderId="0" xfId="0" applyNumberFormat="1" applyFont="1" applyFill="1" applyBorder="1" applyAlignment="1" applyProtection="1">
      <alignment horizontal="center" vertical="center" readingOrder="1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20" fillId="4" borderId="0" xfId="0" applyFont="1" applyFill="1" applyBorder="1" applyAlignment="1" applyProtection="1">
      <alignment vertical="center" readingOrder="1"/>
      <protection hidden="1"/>
    </xf>
    <xf numFmtId="0" fontId="20" fillId="0" borderId="0" xfId="0" applyFont="1" applyAlignment="1" applyProtection="1">
      <alignment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20" fillId="4" borderId="1" xfId="0" applyFont="1" applyFill="1" applyBorder="1" applyAlignment="1" applyProtection="1">
      <alignment vertical="center" readingOrder="1"/>
      <protection hidden="1"/>
    </xf>
    <xf numFmtId="0" fontId="4" fillId="2" borderId="0" xfId="0" applyFont="1" applyFill="1" applyAlignment="1" applyProtection="1">
      <alignment horizontal="left" vertical="center" readingOrder="1"/>
      <protection hidden="1"/>
    </xf>
    <xf numFmtId="0" fontId="31" fillId="2" borderId="0" xfId="0" applyFont="1" applyFill="1" applyAlignment="1" applyProtection="1">
      <alignment horizontal="left" vertical="center" indent="1" readingOrder="1"/>
      <protection hidden="1"/>
    </xf>
    <xf numFmtId="44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horizontal="left" vertical="center" indent="1" readingOrder="1"/>
      <protection hidden="1"/>
    </xf>
    <xf numFmtId="0" fontId="38" fillId="0" borderId="6" xfId="0" applyFont="1" applyFill="1" applyBorder="1" applyAlignment="1" applyProtection="1">
      <alignment horizontal="lef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0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center" vertical="center"/>
      <protection hidden="1"/>
    </xf>
    <xf numFmtId="170" fontId="6" fillId="0" borderId="0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1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Alignment="1" applyProtection="1">
      <alignment horizontal="center" vertical="center" readingOrder="1"/>
      <protection hidden="1"/>
    </xf>
    <xf numFmtId="0" fontId="6" fillId="0" borderId="0" xfId="0" applyFont="1" applyBorder="1" applyAlignment="1" applyProtection="1">
      <alignment horizontal="center" vertical="center" readingOrder="1"/>
      <protection hidden="1"/>
    </xf>
    <xf numFmtId="170" fontId="6" fillId="4" borderId="0" xfId="4" applyNumberFormat="1" applyFont="1" applyFill="1" applyAlignment="1" applyProtection="1">
      <alignment horizontal="center" vertical="center" readingOrder="1"/>
      <protection hidden="1"/>
    </xf>
    <xf numFmtId="170" fontId="23" fillId="0" borderId="1" xfId="4" applyNumberFormat="1" applyFont="1" applyFill="1" applyBorder="1" applyAlignment="1" applyProtection="1">
      <alignment horizontal="right" readingOrder="1"/>
      <protection hidden="1"/>
    </xf>
    <xf numFmtId="170" fontId="6" fillId="0" borderId="0" xfId="4" applyNumberFormat="1" applyFont="1" applyAlignment="1" applyProtection="1">
      <alignment horizontal="right" vertical="center" readingOrder="1"/>
      <protection hidden="1"/>
    </xf>
    <xf numFmtId="170" fontId="6" fillId="4" borderId="0" xfId="4" applyNumberFormat="1" applyFont="1" applyFill="1" applyAlignment="1" applyProtection="1">
      <alignment horizontal="right" vertical="center" readingOrder="1"/>
      <protection hidden="1"/>
    </xf>
    <xf numFmtId="0" fontId="45" fillId="0" borderId="6" xfId="0" applyFont="1" applyFill="1" applyBorder="1" applyAlignment="1" applyProtection="1">
      <alignment horizontal="left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readingOrder="1"/>
      <protection hidden="1"/>
    </xf>
    <xf numFmtId="0" fontId="6" fillId="0" borderId="6" xfId="0" applyFont="1" applyFill="1" applyBorder="1" applyAlignment="1" applyProtection="1">
      <alignment vertical="center" readingOrder="1"/>
      <protection hidden="1"/>
    </xf>
    <xf numFmtId="166" fontId="6" fillId="0" borderId="6" xfId="0" applyNumberFormat="1" applyFont="1" applyFill="1" applyBorder="1" applyAlignment="1" applyProtection="1">
      <alignment horizontal="center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readingOrder="1"/>
      <protection hidden="1"/>
    </xf>
    <xf numFmtId="0" fontId="47" fillId="0" borderId="0" xfId="0" applyFont="1" applyFill="1" applyBorder="1" applyAlignment="1" applyProtection="1">
      <alignment horizontal="left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center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left" vertical="center" readingOrder="1"/>
      <protection hidden="1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Fill="1" applyAlignment="1" applyProtection="1">
      <alignment vertical="center"/>
      <protection hidden="1"/>
    </xf>
    <xf numFmtId="0" fontId="47" fillId="0" borderId="0" xfId="0" applyFont="1" applyFill="1" applyBorder="1" applyAlignment="1" applyProtection="1">
      <alignment vertical="center"/>
      <protection hidden="1"/>
    </xf>
    <xf numFmtId="0" fontId="47" fillId="0" borderId="0" xfId="0" applyFont="1" applyFill="1" applyAlignment="1" applyProtection="1">
      <alignment horizontal="left" vertical="center"/>
      <protection hidden="1"/>
    </xf>
    <xf numFmtId="0" fontId="9" fillId="0" borderId="0" xfId="0" applyFont="1" applyFill="1" applyAlignment="1" applyProtection="1">
      <alignment horizontal="left" vertical="center"/>
      <protection hidden="1"/>
    </xf>
    <xf numFmtId="170" fontId="6" fillId="0" borderId="0" xfId="4" applyNumberFormat="1" applyFont="1" applyBorder="1" applyAlignment="1" applyProtection="1">
      <alignment horizontal="center" vertical="center" readingOrder="1"/>
      <protection hidden="1"/>
    </xf>
    <xf numFmtId="0" fontId="4" fillId="4" borderId="0" xfId="0" applyFont="1" applyFill="1" applyBorder="1" applyAlignment="1" applyProtection="1">
      <alignment horizontal="right" vertical="center" readingOrder="1"/>
      <protection hidden="1"/>
    </xf>
    <xf numFmtId="0" fontId="21" fillId="2" borderId="0" xfId="0" applyFont="1" applyFill="1" applyBorder="1" applyAlignment="1" applyProtection="1">
      <alignment horizontal="left" vertical="center" indent="1"/>
      <protection hidden="1"/>
    </xf>
    <xf numFmtId="0" fontId="23" fillId="2" borderId="1" xfId="0" applyFont="1" applyFill="1" applyBorder="1" applyAlignment="1" applyProtection="1">
      <alignment vertical="center" readingOrder="1"/>
      <protection hidden="1"/>
    </xf>
    <xf numFmtId="0" fontId="23" fillId="2" borderId="1" xfId="0" applyFont="1" applyFill="1" applyBorder="1" applyAlignment="1" applyProtection="1">
      <alignment horizontal="right" vertical="center" readingOrder="1"/>
      <protection hidden="1"/>
    </xf>
    <xf numFmtId="0" fontId="23" fillId="2" borderId="1" xfId="0" applyFont="1" applyFill="1" applyBorder="1" applyAlignment="1" applyProtection="1">
      <alignment horizontal="left" vertical="center" readingOrder="1"/>
      <protection hidden="1"/>
    </xf>
    <xf numFmtId="0" fontId="23" fillId="2" borderId="1" xfId="0" applyFont="1" applyFill="1" applyBorder="1" applyAlignment="1" applyProtection="1">
      <alignment horizontal="center" vertical="center" readingOrder="1"/>
      <protection hidden="1"/>
    </xf>
    <xf numFmtId="0" fontId="11" fillId="2" borderId="0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center" vertical="center" readingOrder="1"/>
      <protection hidden="1"/>
    </xf>
    <xf numFmtId="6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71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lef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Alignment="1" applyProtection="1">
      <alignment horizontal="left" vertical="center" readingOrder="1"/>
      <protection hidden="1"/>
    </xf>
    <xf numFmtId="173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3" fontId="4" fillId="2" borderId="0" xfId="2" applyNumberFormat="1" applyFont="1" applyFill="1" applyAlignment="1" applyProtection="1">
      <alignment horizontal="left" vertical="center" readingOrder="1"/>
      <protection hidden="1"/>
    </xf>
    <xf numFmtId="0" fontId="31" fillId="4" borderId="0" xfId="0" applyFont="1" applyFill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Fill="1" applyBorder="1" applyAlignment="1" applyProtection="1">
      <alignment horizontal="center" vertical="center" readingOrder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20" fillId="4" borderId="0" xfId="0" applyFont="1" applyFill="1" applyBorder="1" applyAlignment="1" applyProtection="1">
      <alignment horizontal="left" vertical="center" indent="1" readingOrder="1"/>
      <protection hidden="1"/>
    </xf>
    <xf numFmtId="0" fontId="4" fillId="4" borderId="0" xfId="0" applyFont="1" applyFill="1" applyAlignment="1" applyProtection="1">
      <alignment horizontal="left" vertical="top"/>
      <protection hidden="1"/>
    </xf>
    <xf numFmtId="0" fontId="20" fillId="4" borderId="15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indent="1" readingOrder="1"/>
      <protection hidden="1"/>
    </xf>
    <xf numFmtId="0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8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8" fontId="35" fillId="5" borderId="19" xfId="2" applyNumberFormat="1" applyFont="1" applyFill="1" applyBorder="1" applyAlignment="1" applyProtection="1">
      <alignment horizontal="right" vertical="center" readingOrder="1"/>
      <protection locked="0"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48" fillId="2" borderId="0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right" vertical="center"/>
      <protection hidden="1"/>
    </xf>
    <xf numFmtId="0" fontId="50" fillId="4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right" vertical="center" readingOrder="1"/>
      <protection hidden="1"/>
    </xf>
    <xf numFmtId="173" fontId="4" fillId="2" borderId="0" xfId="2" applyNumberFormat="1" applyFont="1" applyFill="1" applyAlignment="1" applyProtection="1">
      <alignment horizontal="right" vertical="center" wrapText="1" readingOrder="1"/>
      <protection hidden="1"/>
    </xf>
    <xf numFmtId="171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73" fontId="4" fillId="4" borderId="0" xfId="2" applyNumberFormat="1" applyFont="1" applyFill="1" applyBorder="1" applyAlignment="1" applyProtection="1">
      <alignment horizontal="right" vertical="center" wrapText="1" readingOrder="1"/>
      <protection hidden="1"/>
    </xf>
    <xf numFmtId="165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175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37" fillId="0" borderId="6" xfId="2" applyNumberFormat="1" applyFont="1" applyFill="1" applyBorder="1" applyAlignment="1" applyProtection="1">
      <alignment horizontal="center" vertical="center" shrinkToFit="1" readingOrder="1"/>
      <protection hidden="1"/>
    </xf>
    <xf numFmtId="0" fontId="28" fillId="0" borderId="6" xfId="0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vertical="center" shrinkToFit="1"/>
      <protection hidden="1"/>
    </xf>
    <xf numFmtId="0" fontId="9" fillId="4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right" vertical="center" shrinkToFit="1"/>
      <protection hidden="1"/>
    </xf>
    <xf numFmtId="0" fontId="9" fillId="0" borderId="7" xfId="0" applyFont="1" applyFill="1" applyBorder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left" vertical="center" shrinkToFit="1"/>
      <protection hidden="1"/>
    </xf>
    <xf numFmtId="9" fontId="4" fillId="4" borderId="0" xfId="1" applyFont="1" applyFill="1" applyAlignment="1" applyProtection="1">
      <alignment horizontal="center" vertical="center" shrinkToFit="1"/>
      <protection hidden="1"/>
    </xf>
    <xf numFmtId="0" fontId="5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center" vertical="center" shrinkToFit="1"/>
      <protection hidden="1"/>
    </xf>
    <xf numFmtId="0" fontId="4" fillId="4" borderId="0" xfId="0" applyFont="1" applyFill="1" applyAlignment="1" applyProtection="1">
      <alignment horizontal="right" vertical="center" shrinkToFit="1"/>
      <protection hidden="1"/>
    </xf>
    <xf numFmtId="0" fontId="4" fillId="0" borderId="7" xfId="0" applyFont="1" applyFill="1" applyBorder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vertical="center" shrinkToFit="1"/>
      <protection hidden="1"/>
    </xf>
    <xf numFmtId="9" fontId="4" fillId="4" borderId="1" xfId="1" applyFont="1" applyFill="1" applyBorder="1" applyAlignment="1" applyProtection="1">
      <alignment horizontal="center" vertical="center" shrinkToFit="1"/>
      <protection hidden="1"/>
    </xf>
    <xf numFmtId="0" fontId="5" fillId="4" borderId="1" xfId="0" applyFont="1" applyFill="1" applyBorder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horizontal="center" vertical="center" shrinkToFit="1"/>
      <protection hidden="1"/>
    </xf>
    <xf numFmtId="0" fontId="4" fillId="4" borderId="1" xfId="0" applyFont="1" applyFill="1" applyBorder="1" applyAlignment="1" applyProtection="1">
      <alignment horizontal="right" vertical="center" shrinkToFit="1"/>
      <protection hidden="1"/>
    </xf>
    <xf numFmtId="0" fontId="4" fillId="4" borderId="8" xfId="0" applyFont="1" applyFill="1" applyBorder="1" applyAlignment="1" applyProtection="1">
      <alignment vertical="center" shrinkToFit="1"/>
      <protection hidden="1"/>
    </xf>
    <xf numFmtId="9" fontId="4" fillId="0" borderId="0" xfId="1" applyFont="1" applyFill="1" applyAlignment="1" applyProtection="1">
      <alignment horizontal="center" vertical="center" shrinkToFit="1"/>
      <protection hidden="1"/>
    </xf>
    <xf numFmtId="0" fontId="5" fillId="0" borderId="0" xfId="0" applyFont="1" applyFill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horizontal="center" vertical="center" shrinkToFit="1"/>
      <protection hidden="1"/>
    </xf>
    <xf numFmtId="0" fontId="4" fillId="0" borderId="0" xfId="0" applyFont="1" applyFill="1" applyAlignment="1" applyProtection="1">
      <alignment horizontal="right" vertical="center" shrinkToFit="1"/>
      <protection hidden="1"/>
    </xf>
    <xf numFmtId="0" fontId="4" fillId="0" borderId="0" xfId="0" applyFont="1" applyAlignment="1" applyProtection="1">
      <alignment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horizontal="center" vertical="center" shrinkToFit="1"/>
      <protection hidden="1"/>
    </xf>
    <xf numFmtId="0" fontId="4" fillId="0" borderId="0" xfId="0" applyFont="1" applyAlignment="1" applyProtection="1">
      <alignment horizontal="right" vertical="center" shrinkToFit="1"/>
      <protection hidden="1"/>
    </xf>
    <xf numFmtId="0" fontId="4" fillId="0" borderId="7" xfId="0" applyFont="1" applyBorder="1" applyAlignment="1" applyProtection="1">
      <alignment vertical="center" shrinkToFit="1"/>
      <protection hidden="1"/>
    </xf>
    <xf numFmtId="0" fontId="6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shrinkToFit="1"/>
      <protection hidden="1"/>
    </xf>
    <xf numFmtId="0" fontId="7" fillId="0" borderId="0" xfId="0" applyFont="1" applyAlignment="1" applyProtection="1">
      <alignment shrinkToFit="1" readingOrder="1"/>
      <protection hidden="1"/>
    </xf>
    <xf numFmtId="0" fontId="8" fillId="0" borderId="0" xfId="0" applyFont="1" applyAlignment="1" applyProtection="1">
      <alignment horizontal="left" shrinkToFit="1" readingOrder="1"/>
      <protection hidden="1"/>
    </xf>
    <xf numFmtId="0" fontId="7" fillId="0" borderId="0" xfId="0" applyFont="1" applyAlignment="1" applyProtection="1">
      <alignment horizontal="left" shrinkToFit="1"/>
      <protection hidden="1"/>
    </xf>
    <xf numFmtId="0" fontId="7" fillId="0" borderId="0" xfId="0" applyFont="1" applyAlignment="1" applyProtection="1">
      <alignment horizontal="center" shrinkToFit="1" readingOrder="1"/>
      <protection hidden="1"/>
    </xf>
    <xf numFmtId="0" fontId="7" fillId="0" borderId="0" xfId="0" applyFont="1" applyAlignment="1" applyProtection="1">
      <alignment horizontal="right" shrinkToFit="1" readingOrder="1"/>
      <protection hidden="1"/>
    </xf>
    <xf numFmtId="0" fontId="7" fillId="0" borderId="7" xfId="0" applyFont="1" applyBorder="1" applyAlignment="1" applyProtection="1">
      <alignment vertical="center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6" fontId="6" fillId="0" borderId="0" xfId="0" applyNumberFormat="1" applyFont="1" applyAlignment="1" applyProtection="1">
      <alignment vertical="center" shrinkToFit="1"/>
      <protection hidden="1"/>
    </xf>
    <xf numFmtId="0" fontId="6" fillId="0" borderId="0" xfId="0" applyFont="1" applyAlignment="1" applyProtection="1">
      <alignment shrinkToFit="1"/>
      <protection hidden="1"/>
    </xf>
    <xf numFmtId="0" fontId="9" fillId="0" borderId="0" xfId="0" applyFont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right" vertical="center" shrinkToFit="1"/>
      <protection hidden="1"/>
    </xf>
    <xf numFmtId="0" fontId="9" fillId="0" borderId="7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center" shrinkToFit="1" readingOrder="1"/>
      <protection hidden="1"/>
    </xf>
    <xf numFmtId="0" fontId="23" fillId="0" borderId="1" xfId="0" applyFont="1" applyFill="1" applyBorder="1" applyAlignment="1" applyProtection="1">
      <alignment horizontal="right" shrinkToFit="1" readingOrder="1"/>
      <protection hidden="1"/>
    </xf>
    <xf numFmtId="0" fontId="24" fillId="0" borderId="1" xfId="0" applyFont="1" applyFill="1" applyBorder="1" applyAlignment="1" applyProtection="1">
      <alignment horizontal="center" wrapText="1" shrinkToFit="1" readingOrder="1"/>
      <protection hidden="1"/>
    </xf>
    <xf numFmtId="0" fontId="23" fillId="0" borderId="1" xfId="0" applyFont="1" applyFill="1" applyBorder="1" applyAlignment="1" applyProtection="1">
      <alignment horizontal="center" shrinkToFit="1"/>
      <protection hidden="1"/>
    </xf>
    <xf numFmtId="0" fontId="25" fillId="0" borderId="0" xfId="0" applyFont="1" applyAlignment="1" applyProtection="1">
      <alignment shrinkToFit="1"/>
      <protection hidden="1"/>
    </xf>
    <xf numFmtId="0" fontId="25" fillId="0" borderId="7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vertical="center" shrinkToFit="1"/>
      <protection hidden="1"/>
    </xf>
    <xf numFmtId="0" fontId="26" fillId="0" borderId="0" xfId="0" applyFont="1" applyAlignment="1" applyProtection="1">
      <alignment vertical="center" shrinkToFit="1"/>
      <protection hidden="1"/>
    </xf>
    <xf numFmtId="0" fontId="4" fillId="4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8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7" xfId="0" applyFont="1" applyBorder="1" applyAlignment="1" applyProtection="1">
      <alignment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vertical="center" shrinkToFit="1"/>
      <protection hidden="1"/>
    </xf>
    <xf numFmtId="0" fontId="38" fillId="0" borderId="6" xfId="0" applyFont="1" applyFill="1" applyBorder="1" applyAlignment="1" applyProtection="1">
      <alignment horizontal="left" vertical="center" shrinkToFit="1" readingOrder="1"/>
      <protection hidden="1"/>
    </xf>
    <xf numFmtId="44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6" fontId="9" fillId="0" borderId="0" xfId="0" applyNumberFormat="1" applyFont="1" applyAlignment="1" applyProtection="1">
      <alignment vertical="center" shrinkToFit="1"/>
      <protection hidden="1"/>
    </xf>
    <xf numFmtId="0" fontId="38" fillId="0" borderId="0" xfId="0" applyFont="1" applyFill="1" applyBorder="1" applyAlignment="1" applyProtection="1">
      <alignment horizontal="left" vertical="center" shrinkToFit="1" readingOrder="1"/>
      <protection hidden="1"/>
    </xf>
    <xf numFmtId="44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28" fillId="0" borderId="0" xfId="0" applyFont="1" applyFill="1" applyBorder="1" applyAlignment="1" applyProtection="1">
      <alignment horizontal="center" vertical="center" shrinkToFit="1"/>
      <protection hidden="1"/>
    </xf>
    <xf numFmtId="0" fontId="22" fillId="0" borderId="0" xfId="0" applyFont="1" applyFill="1" applyBorder="1" applyAlignment="1" applyProtection="1">
      <alignment shrinkToFit="1" readingOrder="1"/>
      <protection hidden="1"/>
    </xf>
    <xf numFmtId="0" fontId="22" fillId="0" borderId="0" xfId="0" applyFont="1" applyFill="1" applyBorder="1" applyAlignment="1" applyProtection="1">
      <alignment horizontal="left" shrinkToFit="1" readingOrder="1"/>
      <protection hidden="1"/>
    </xf>
    <xf numFmtId="0" fontId="9" fillId="0" borderId="0" xfId="0" applyFont="1" applyFill="1" applyBorder="1" applyAlignment="1" applyProtection="1">
      <alignment horizont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shrinkToFit="1" readingOrder="1"/>
      <protection hidden="1"/>
    </xf>
    <xf numFmtId="0" fontId="9" fillId="0" borderId="0" xfId="0" applyFont="1" applyAlignment="1" applyProtection="1">
      <alignment shrinkToFit="1"/>
      <protection hidden="1"/>
    </xf>
    <xf numFmtId="0" fontId="9" fillId="0" borderId="7" xfId="0" applyFont="1" applyBorder="1" applyAlignment="1" applyProtection="1">
      <alignment shrinkToFit="1"/>
      <protection hidden="1"/>
    </xf>
    <xf numFmtId="6" fontId="6" fillId="0" borderId="0" xfId="0" applyNumberFormat="1" applyFont="1" applyAlignment="1" applyProtection="1">
      <alignment shrinkToFit="1"/>
      <protection hidden="1"/>
    </xf>
    <xf numFmtId="6" fontId="9" fillId="0" borderId="0" xfId="0" applyNumberFormat="1" applyFont="1" applyAlignment="1" applyProtection="1">
      <alignment shrinkToFit="1"/>
      <protection hidden="1"/>
    </xf>
    <xf numFmtId="0" fontId="9" fillId="0" borderId="0" xfId="0" applyFont="1" applyAlignment="1" applyProtection="1">
      <alignment vertical="top" shrinkToFit="1"/>
      <protection hidden="1"/>
    </xf>
    <xf numFmtId="0" fontId="6" fillId="0" borderId="0" xfId="0" applyFont="1" applyAlignment="1" applyProtection="1">
      <alignment horizontal="center" vertical="center" shrinkToFit="1" readingOrder="1"/>
      <protection hidden="1"/>
    </xf>
    <xf numFmtId="44" fontId="6" fillId="0" borderId="0" xfId="2" applyFont="1" applyFill="1" applyBorder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0" borderId="0" xfId="0" applyFont="1" applyAlignment="1" applyProtection="1">
      <alignment horizontal="center" vertical="center" shrinkToFit="1" readingOrder="1"/>
      <protection hidden="1"/>
    </xf>
    <xf numFmtId="0" fontId="6" fillId="4" borderId="0" xfId="0" applyFont="1" applyFill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lef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4" borderId="0" xfId="0" applyFont="1" applyFill="1" applyAlignment="1" applyProtection="1">
      <alignment horizontal="center" vertical="center" shrinkToFit="1" readingOrder="1"/>
      <protection hidden="1"/>
    </xf>
    <xf numFmtId="0" fontId="6" fillId="0" borderId="0" xfId="0" applyFont="1" applyBorder="1" applyAlignment="1" applyProtection="1">
      <alignment horizontal="center" vertical="center" shrinkToFit="1" readingOrder="1"/>
      <protection hidden="1"/>
    </xf>
    <xf numFmtId="0" fontId="4" fillId="0" borderId="0" xfId="0" applyFont="1" applyBorder="1" applyAlignment="1" applyProtection="1">
      <alignment horizontal="center" vertical="center" shrinkToFit="1" readingOrder="1"/>
      <protection hidden="1"/>
    </xf>
    <xf numFmtId="0" fontId="12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2" fillId="0" borderId="0" xfId="0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Border="1" applyAlignment="1" applyProtection="1">
      <alignment horizontal="center" vertic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6" fillId="0" borderId="0" xfId="0" applyFont="1" applyAlignment="1" applyProtection="1">
      <alignment shrinkToFit="1"/>
      <protection hidden="1"/>
    </xf>
    <xf numFmtId="0" fontId="26" fillId="0" borderId="7" xfId="0" applyFont="1" applyBorder="1" applyAlignment="1" applyProtection="1">
      <alignment shrinkToFit="1"/>
      <protection hidden="1"/>
    </xf>
    <xf numFmtId="0" fontId="27" fillId="0" borderId="0" xfId="0" applyFont="1" applyAlignment="1" applyProtection="1">
      <alignment shrinkToFit="1"/>
      <protection hidden="1"/>
    </xf>
    <xf numFmtId="8" fontId="27" fillId="0" borderId="0" xfId="0" applyNumberFormat="1" applyFont="1" applyAlignment="1" applyProtection="1">
      <alignment shrinkToFit="1"/>
      <protection hidden="1"/>
    </xf>
    <xf numFmtId="6" fontId="27" fillId="0" borderId="0" xfId="0" applyNumberFormat="1" applyFont="1" applyAlignment="1" applyProtection="1">
      <alignment shrinkToFit="1"/>
      <protection hidden="1"/>
    </xf>
    <xf numFmtId="0" fontId="39" fillId="0" borderId="7" xfId="0" applyFont="1" applyBorder="1" applyAlignment="1" applyProtection="1">
      <alignment vertical="center" shrinkToFit="1"/>
      <protection hidden="1"/>
    </xf>
    <xf numFmtId="0" fontId="20" fillId="0" borderId="0" xfId="0" applyFont="1" applyAlignment="1" applyProtection="1">
      <alignment vertical="center" shrinkToFit="1"/>
      <protection hidden="1"/>
    </xf>
    <xf numFmtId="6" fontId="20" fillId="0" borderId="0" xfId="0" applyNumberFormat="1" applyFont="1" applyAlignment="1" applyProtection="1">
      <alignment vertical="center" shrinkToFit="1"/>
      <protection hidden="1"/>
    </xf>
    <xf numFmtId="6" fontId="39" fillId="0" borderId="0" xfId="0" applyNumberFormat="1" applyFont="1" applyAlignment="1" applyProtection="1">
      <alignment vertical="center" shrinkToFit="1"/>
      <protection hidden="1"/>
    </xf>
    <xf numFmtId="0" fontId="39" fillId="0" borderId="0" xfId="0" applyFont="1" applyAlignment="1" applyProtection="1">
      <alignment vertical="center" shrinkToFit="1"/>
      <protection hidden="1"/>
    </xf>
    <xf numFmtId="0" fontId="14" fillId="0" borderId="0" xfId="0" applyFont="1" applyFill="1" applyBorder="1" applyAlignment="1" applyProtection="1">
      <alignment horizontal="left" vertical="center" shrinkToFit="1" readingOrder="1"/>
      <protection hidden="1"/>
    </xf>
    <xf numFmtId="0" fontId="6" fillId="0" borderId="0" xfId="0" applyFont="1" applyAlignment="1" applyProtection="1">
      <alignment horizontal="center" shrinkToFit="1"/>
      <protection hidden="1"/>
    </xf>
    <xf numFmtId="0" fontId="6" fillId="0" borderId="0" xfId="0" applyFont="1" applyAlignment="1" applyProtection="1">
      <alignment horizontal="right" shrinkToFit="1"/>
      <protection hidden="1"/>
    </xf>
    <xf numFmtId="0" fontId="10" fillId="0" borderId="0" xfId="0" applyFont="1" applyFill="1" applyBorder="1" applyAlignment="1" applyProtection="1">
      <alignment shrinkToFit="1" readingOrder="1"/>
      <protection hidden="1"/>
    </xf>
    <xf numFmtId="0" fontId="23" fillId="0" borderId="1" xfId="0" applyFont="1" applyFill="1" applyBorder="1" applyAlignment="1" applyProtection="1">
      <alignment shrinkToFit="1" readingOrder="1"/>
      <protection hidden="1"/>
    </xf>
    <xf numFmtId="0" fontId="46" fillId="0" borderId="1" xfId="0" applyFont="1" applyFill="1" applyBorder="1" applyAlignment="1" applyProtection="1">
      <alignment horizontal="center" wrapText="1" shrinkToFit="1" readingOrder="1"/>
      <protection hidden="1"/>
    </xf>
    <xf numFmtId="0" fontId="6" fillId="4" borderId="6" xfId="0" applyNumberFormat="1" applyFont="1" applyFill="1" applyBorder="1" applyAlignment="1" applyProtection="1">
      <alignment vertical="center" shrinkToFit="1"/>
      <protection hidden="1"/>
    </xf>
    <xf numFmtId="0" fontId="6" fillId="0" borderId="0" xfId="2" applyNumberFormat="1" applyFont="1" applyFill="1" applyBorder="1" applyAlignment="1" applyProtection="1">
      <alignment vertical="center" shrinkToFit="1" readingOrder="1"/>
      <protection hidden="1"/>
    </xf>
    <xf numFmtId="0" fontId="6" fillId="4" borderId="1" xfId="2" applyNumberFormat="1" applyFont="1" applyFill="1" applyBorder="1" applyAlignment="1" applyProtection="1">
      <alignment vertical="center" shrinkToFit="1" readingOrder="1"/>
      <protection hidden="1"/>
    </xf>
    <xf numFmtId="44" fontId="6" fillId="4" borderId="1" xfId="2" applyFont="1" applyFill="1" applyBorder="1" applyAlignment="1" applyProtection="1">
      <alignment horizontal="left" vertical="center" shrinkToFit="1" readingOrder="1"/>
      <protection hidden="1"/>
    </xf>
    <xf numFmtId="165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0" fontId="20" fillId="0" borderId="0" xfId="0" applyFont="1" applyAlignment="1" applyProtection="1">
      <alignment shrinkToFit="1"/>
      <protection hidden="1"/>
    </xf>
    <xf numFmtId="0" fontId="20" fillId="0" borderId="7" xfId="0" applyFont="1" applyBorder="1" applyAlignment="1" applyProtection="1">
      <alignment vertical="center" shrinkToFit="1"/>
      <protection hidden="1"/>
    </xf>
    <xf numFmtId="8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0" fontId="37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4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6" fillId="0" borderId="7" xfId="0" applyFont="1" applyBorder="1" applyAlignment="1" applyProtection="1">
      <alignment vertical="center" shrinkToFit="1"/>
      <protection hidden="1"/>
    </xf>
    <xf numFmtId="0" fontId="27" fillId="0" borderId="0" xfId="0" applyFont="1" applyAlignment="1" applyProtection="1">
      <alignment vertical="center" shrinkToFit="1"/>
      <protection hidden="1"/>
    </xf>
    <xf numFmtId="8" fontId="27" fillId="0" borderId="0" xfId="0" applyNumberFormat="1" applyFont="1" applyAlignment="1" applyProtection="1">
      <alignment vertical="center" shrinkToFit="1"/>
      <protection hidden="1"/>
    </xf>
    <xf numFmtId="6" fontId="27" fillId="0" borderId="0" xfId="0" applyNumberFormat="1" applyFont="1" applyAlignment="1" applyProtection="1">
      <alignment vertical="center" shrinkToFit="1"/>
      <protection hidden="1"/>
    </xf>
    <xf numFmtId="3" fontId="35" fillId="5" borderId="4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0" xfId="0" applyFont="1" applyFill="1" applyBorder="1" applyAlignment="1" applyProtection="1">
      <alignment horizontal="left" vertical="center" shrinkToFit="1"/>
      <protection hidden="1"/>
    </xf>
    <xf numFmtId="0" fontId="6" fillId="4" borderId="0" xfId="0" applyFont="1" applyFill="1" applyBorder="1" applyAlignment="1" applyProtection="1">
      <alignment vertical="center" shrinkToFit="1"/>
      <protection hidden="1"/>
    </xf>
    <xf numFmtId="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3" fontId="35" fillId="5" borderId="0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0" borderId="0" xfId="0" applyFont="1" applyFill="1" applyBorder="1" applyAlignment="1" applyProtection="1">
      <alignment horizontal="left" vertical="center" shrinkToFit="1"/>
      <protection hidden="1"/>
    </xf>
    <xf numFmtId="0" fontId="6" fillId="0" borderId="0" xfId="0" applyFont="1" applyFill="1" applyBorder="1" applyAlignment="1" applyProtection="1">
      <alignment vertical="center" shrinkToFit="1"/>
      <protection hidden="1"/>
    </xf>
    <xf numFmtId="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6" xfId="0" applyFont="1" applyBorder="1" applyAlignment="1" applyProtection="1">
      <alignment vertical="center" shrinkToFit="1"/>
      <protection hidden="1"/>
    </xf>
    <xf numFmtId="174" fontId="37" fillId="0" borderId="6" xfId="4" applyNumberFormat="1" applyFont="1" applyFill="1" applyBorder="1" applyAlignment="1" applyProtection="1">
      <alignment horizontal="center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vertical="center" shrinkToFit="1"/>
      <protection hidden="1"/>
    </xf>
    <xf numFmtId="6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6" fontId="1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0" borderId="0" xfId="0" applyFont="1" applyAlignment="1" applyProtection="1">
      <alignment vertical="top" shrinkToFit="1" readingOrder="1"/>
      <protection hidden="1"/>
    </xf>
    <xf numFmtId="0" fontId="8" fillId="0" borderId="0" xfId="0" applyFont="1" applyAlignment="1" applyProtection="1">
      <alignment horizontal="left" vertical="top" shrinkToFit="1" readingOrder="1"/>
      <protection hidden="1"/>
    </xf>
    <xf numFmtId="0" fontId="7" fillId="0" borderId="0" xfId="0" applyFont="1" applyAlignment="1" applyProtection="1">
      <alignment horizontal="left" vertical="top" shrinkToFit="1"/>
      <protection hidden="1"/>
    </xf>
    <xf numFmtId="0" fontId="7" fillId="0" borderId="0" xfId="0" applyFont="1" applyAlignment="1" applyProtection="1">
      <alignment horizontal="center" vertical="top" shrinkToFit="1" readingOrder="1"/>
      <protection hidden="1"/>
    </xf>
    <xf numFmtId="0" fontId="7" fillId="0" borderId="0" xfId="0" applyFont="1" applyAlignment="1" applyProtection="1">
      <alignment horizontal="right" vertical="top" shrinkToFit="1" readingOrder="1"/>
      <protection hidden="1"/>
    </xf>
    <xf numFmtId="0" fontId="7" fillId="0" borderId="7" xfId="0" applyFont="1" applyBorder="1" applyAlignment="1" applyProtection="1">
      <alignment vertical="top" shrinkToFit="1" readingOrder="1"/>
      <protection hidden="1"/>
    </xf>
    <xf numFmtId="0" fontId="4" fillId="0" borderId="0" xfId="0" applyFont="1" applyAlignment="1" applyProtection="1">
      <alignment vertical="top" shrinkToFit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vertical="center" shrinkToFit="1" readingOrder="1"/>
      <protection hidden="1"/>
    </xf>
    <xf numFmtId="0" fontId="27" fillId="0" borderId="7" xfId="0" applyFont="1" applyBorder="1" applyAlignment="1" applyProtection="1">
      <alignment vertical="center" shrinkToFit="1"/>
      <protection hidden="1"/>
    </xf>
    <xf numFmtId="0" fontId="23" fillId="0" borderId="0" xfId="0" applyFont="1" applyFill="1" applyBorder="1" applyAlignment="1" applyProtection="1">
      <alignment horizontal="right" vertical="center" shrinkToFit="1" readingOrder="1"/>
      <protection hidden="1"/>
    </xf>
    <xf numFmtId="3" fontId="35" fillId="5" borderId="5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1" xfId="0" applyFont="1" applyFill="1" applyBorder="1" applyAlignment="1" applyProtection="1">
      <alignment horizontal="left" vertical="center" shrinkToFit="1"/>
      <protection hidden="1"/>
    </xf>
    <xf numFmtId="0" fontId="15" fillId="4" borderId="1" xfId="0" applyFont="1" applyFill="1" applyBorder="1" applyAlignment="1" applyProtection="1">
      <alignment horizontal="center" vertical="center" shrinkToFit="1" readingOrder="1"/>
      <protection hidden="1"/>
    </xf>
    <xf numFmtId="0" fontId="6" fillId="4" borderId="1" xfId="0" applyFont="1" applyFill="1" applyBorder="1" applyAlignment="1" applyProtection="1">
      <alignment vertical="center" shrinkToFit="1"/>
      <protection hidden="1"/>
    </xf>
    <xf numFmtId="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38" fillId="0" borderId="0" xfId="0" applyFont="1" applyFill="1" applyBorder="1" applyAlignment="1" applyProtection="1">
      <alignment horizontal="center" vertical="center" shrinkToFit="1"/>
      <protection hidden="1"/>
    </xf>
    <xf numFmtId="0" fontId="16" fillId="0" borderId="0" xfId="0" applyFont="1" applyFill="1" applyBorder="1" applyAlignment="1" applyProtection="1">
      <alignment horizontal="left" vertical="center" shrinkToFit="1" readingOrder="1"/>
      <protection hidden="1"/>
    </xf>
    <xf numFmtId="44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/>
      <protection hidden="1"/>
    </xf>
    <xf numFmtId="0" fontId="27" fillId="0" borderId="0" xfId="0" applyFont="1" applyBorder="1" applyAlignment="1" applyProtection="1">
      <alignment shrinkToFit="1"/>
      <protection hidden="1"/>
    </xf>
    <xf numFmtId="0" fontId="9" fillId="0" borderId="0" xfId="0" applyFont="1" applyBorder="1" applyAlignment="1" applyProtection="1">
      <alignment vertical="center" shrinkToFit="1"/>
      <protection hidden="1"/>
    </xf>
    <xf numFmtId="3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4" fontId="19" fillId="4" borderId="0" xfId="0" applyNumberFormat="1" applyFont="1" applyFill="1" applyBorder="1" applyAlignment="1" applyProtection="1">
      <alignment horizontal="center" vertical="center" shrinkToFit="1" readingOrder="1"/>
      <protection hidden="1"/>
    </xf>
    <xf numFmtId="3" fontId="35" fillId="5" borderId="2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40" fillId="0" borderId="0" xfId="0" applyFont="1" applyBorder="1" applyAlignment="1" applyProtection="1">
      <alignment vertical="center" shrinkToFit="1"/>
      <protection hidden="1"/>
    </xf>
    <xf numFmtId="164" fontId="19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0" fillId="0" borderId="7" xfId="0" applyFont="1" applyBorder="1" applyAlignment="1" applyProtection="1">
      <alignment vertical="center" shrinkToFit="1"/>
      <protection hidden="1"/>
    </xf>
    <xf numFmtId="0" fontId="40" fillId="0" borderId="0" xfId="0" applyFont="1" applyAlignment="1" applyProtection="1">
      <alignment vertical="center" shrinkToFit="1"/>
      <protection hidden="1"/>
    </xf>
    <xf numFmtId="0" fontId="17" fillId="0" borderId="0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left" vertical="center" shrinkToFit="1" readingOrder="1"/>
      <protection hidden="1"/>
    </xf>
    <xf numFmtId="0" fontId="25" fillId="0" borderId="0" xfId="0" applyFont="1" applyFill="1" applyAlignment="1" applyProtection="1">
      <alignment vertical="center" shrinkToFit="1"/>
      <protection hidden="1"/>
    </xf>
    <xf numFmtId="0" fontId="25" fillId="0" borderId="0" xfId="0" applyFont="1" applyFill="1" applyAlignment="1" applyProtection="1">
      <alignment horizontal="center" vertical="center" shrinkToFit="1"/>
      <protection hidden="1"/>
    </xf>
    <xf numFmtId="0" fontId="6" fillId="4" borderId="0" xfId="0" applyFont="1" applyFill="1" applyBorder="1" applyAlignment="1" applyProtection="1">
      <alignment horizontal="lef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Alignment="1" applyProtection="1">
      <alignment horizontal="right" vertical="center" shrinkToFit="1"/>
      <protection hidden="1"/>
    </xf>
    <xf numFmtId="164" fontId="3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6" xfId="0" applyFont="1" applyBorder="1" applyAlignment="1" applyProtection="1">
      <alignment horizontal="left" vertical="center" shrinkToFit="1"/>
      <protection hidden="1"/>
    </xf>
    <xf numFmtId="0" fontId="9" fillId="0" borderId="6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horizontal="left" vertical="center" shrinkToFit="1"/>
      <protection hidden="1"/>
    </xf>
    <xf numFmtId="0" fontId="23" fillId="0" borderId="1" xfId="0" applyFont="1" applyBorder="1" applyAlignment="1" applyProtection="1">
      <alignment horizontal="left" vertical="center" shrinkToFit="1" readingOrder="1"/>
      <protection hidden="1"/>
    </xf>
    <xf numFmtId="0" fontId="23" fillId="0" borderId="1" xfId="0" applyFont="1" applyBorder="1" applyAlignment="1" applyProtection="1">
      <alignment vertical="center" shrinkToFit="1" readingOrder="1"/>
      <protection hidden="1"/>
    </xf>
    <xf numFmtId="0" fontId="23" fillId="0" borderId="1" xfId="0" applyFont="1" applyBorder="1" applyAlignment="1" applyProtection="1">
      <alignment horizontal="right" vertical="center" shrinkToFit="1" readingOrder="1"/>
      <protection hidden="1"/>
    </xf>
    <xf numFmtId="0" fontId="6" fillId="0" borderId="0" xfId="0" applyFont="1" applyFill="1" applyBorder="1" applyAlignment="1" applyProtection="1">
      <alignment horizontal="left" vertical="center" shrinkToFit="1" readingOrder="1"/>
      <protection hidden="1"/>
    </xf>
    <xf numFmtId="166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9" fillId="0" borderId="0" xfId="0" applyFont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9" fillId="0" borderId="1" xfId="0" applyFont="1" applyBorder="1" applyAlignment="1" applyProtection="1">
      <alignment vertical="center" shrinkToFit="1"/>
      <protection hidden="1"/>
    </xf>
    <xf numFmtId="44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/>
      <protection hidden="1"/>
    </xf>
    <xf numFmtId="6" fontId="16" fillId="0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8" xfId="0" applyFont="1" applyBorder="1" applyAlignment="1" applyProtection="1">
      <alignment shrinkToFit="1"/>
      <protection hidden="1"/>
    </xf>
    <xf numFmtId="44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/>
      <protection hidden="1"/>
    </xf>
    <xf numFmtId="6" fontId="1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4" borderId="0" xfId="0" applyFont="1" applyFill="1" applyAlignment="1" applyProtection="1">
      <alignment shrinkToFit="1" readingOrder="1"/>
      <protection hidden="1"/>
    </xf>
    <xf numFmtId="0" fontId="4" fillId="4" borderId="0" xfId="0" applyFont="1" applyFill="1" applyAlignment="1" applyProtection="1">
      <alignment vertical="top" shrinkToFit="1"/>
      <protection hidden="1"/>
    </xf>
    <xf numFmtId="0" fontId="8" fillId="4" borderId="0" xfId="0" applyFont="1" applyFill="1" applyAlignment="1" applyProtection="1">
      <alignment horizontal="left" shrinkToFit="1" readingOrder="1"/>
      <protection hidden="1"/>
    </xf>
    <xf numFmtId="0" fontId="7" fillId="4" borderId="0" xfId="0" applyFont="1" applyFill="1" applyAlignment="1" applyProtection="1">
      <alignment horizontal="left" shrinkToFit="1"/>
      <protection hidden="1"/>
    </xf>
    <xf numFmtId="0" fontId="7" fillId="4" borderId="0" xfId="0" applyFont="1" applyFill="1" applyAlignment="1" applyProtection="1">
      <alignment horizontal="center" shrinkToFit="1" readingOrder="1"/>
      <protection hidden="1"/>
    </xf>
    <xf numFmtId="0" fontId="7" fillId="4" borderId="0" xfId="0" applyFont="1" applyFill="1" applyAlignment="1" applyProtection="1">
      <alignment horizontal="right" shrinkToFit="1" readingOrder="1"/>
      <protection hidden="1"/>
    </xf>
    <xf numFmtId="0" fontId="27" fillId="4" borderId="0" xfId="0" applyFont="1" applyFill="1" applyBorder="1" applyAlignment="1" applyProtection="1">
      <alignment shrinkToFit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0" fontId="29" fillId="0" borderId="0" xfId="0" applyFont="1" applyBorder="1" applyAlignment="1" applyProtection="1">
      <alignment vertical="center" shrinkToFit="1"/>
      <protection hidden="1"/>
    </xf>
    <xf numFmtId="0" fontId="9" fillId="4" borderId="0" xfId="0" applyFont="1" applyFill="1" applyBorder="1" applyAlignment="1" applyProtection="1">
      <alignment vertical="center" shrinkToFit="1"/>
      <protection hidden="1"/>
    </xf>
    <xf numFmtId="0" fontId="23" fillId="4" borderId="1" xfId="0" applyFont="1" applyFill="1" applyBorder="1" applyAlignment="1" applyProtection="1">
      <alignment vertical="center" shrinkToFit="1" readingOrder="1"/>
      <protection hidden="1"/>
    </xf>
    <xf numFmtId="0" fontId="23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4" borderId="0" xfId="0" applyFont="1" applyFill="1" applyBorder="1" applyAlignment="1" applyProtection="1">
      <alignment horizontal="right" vertical="center" shrinkToFit="1" readingOrder="1"/>
      <protection hidden="1"/>
    </xf>
    <xf numFmtId="0" fontId="13" fillId="4" borderId="0" xfId="0" applyFont="1" applyFill="1" applyBorder="1" applyAlignment="1" applyProtection="1">
      <alignment vertical="center" shrinkToFit="1" readingOrder="1"/>
      <protection hidden="1"/>
    </xf>
    <xf numFmtId="164" fontId="19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4" xfId="0" applyFont="1" applyFill="1" applyBorder="1" applyAlignment="1" applyProtection="1">
      <alignment horizontal="left" vertical="center" shrinkToFit="1"/>
      <protection hidden="1"/>
    </xf>
    <xf numFmtId="6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5" xfId="0" applyFont="1" applyFill="1" applyBorder="1" applyAlignment="1" applyProtection="1">
      <alignment horizontal="left" vertical="center" shrinkToFit="1"/>
      <protection hidden="1"/>
    </xf>
    <xf numFmtId="6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4" borderId="0" xfId="0" applyFont="1" applyFill="1" applyBorder="1" applyAlignment="1" applyProtection="1">
      <alignment vertical="center" shrinkToFit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0" borderId="7" xfId="0" applyFont="1" applyBorder="1" applyAlignment="1" applyProtection="1">
      <alignment vertical="center" shrinkToFit="1"/>
      <protection hidden="1"/>
    </xf>
    <xf numFmtId="0" fontId="28" fillId="0" borderId="0" xfId="0" applyFont="1" applyAlignment="1" applyProtection="1">
      <alignment vertical="center" shrinkToFit="1"/>
      <protection hidden="1"/>
    </xf>
    <xf numFmtId="44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6" fontId="37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0" xfId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1" xfId="0" applyFont="1" applyFill="1" applyBorder="1" applyAlignment="1" applyProtection="1">
      <alignment vertical="center" shrinkToFit="1"/>
      <protection hidden="1"/>
    </xf>
    <xf numFmtId="0" fontId="6" fillId="4" borderId="1" xfId="0" applyFont="1" applyFill="1" applyBorder="1" applyAlignment="1" applyProtection="1">
      <alignment horizontal="left" vertical="center" shrinkToFit="1" readingOrder="1"/>
      <protection hidden="1"/>
    </xf>
    <xf numFmtId="164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1" xfId="1" applyFont="1" applyFill="1" applyBorder="1" applyAlignment="1" applyProtection="1">
      <alignment horizontal="lef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8" xfId="0" applyFont="1" applyFill="1" applyBorder="1" applyAlignment="1" applyProtection="1">
      <alignment vertical="center" shrinkToFit="1"/>
      <protection hidden="1"/>
    </xf>
    <xf numFmtId="0" fontId="47" fillId="0" borderId="0" xfId="0" applyFont="1" applyFill="1" applyAlignment="1" applyProtection="1">
      <alignment vertical="center" shrinkToFit="1"/>
      <protection hidden="1"/>
    </xf>
    <xf numFmtId="0" fontId="47" fillId="0" borderId="0" xfId="0" applyFont="1" applyFill="1" applyBorder="1" applyAlignment="1" applyProtection="1">
      <alignment horizontal="left" vertical="center" shrinkToFit="1" readingOrder="1"/>
      <protection hidden="1"/>
    </xf>
    <xf numFmtId="164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horizontal="left" vertical="center" shrinkToFit="1"/>
      <protection hidden="1"/>
    </xf>
    <xf numFmtId="9" fontId="47" fillId="0" borderId="0" xfId="1" applyFont="1" applyFill="1" applyBorder="1" applyAlignment="1" applyProtection="1">
      <alignment horizontal="lef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6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vertical="center" shrinkToFit="1"/>
      <protection hidden="1"/>
    </xf>
    <xf numFmtId="44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shrinkToFit="1"/>
      <protection hidden="1"/>
    </xf>
    <xf numFmtId="0" fontId="47" fillId="0" borderId="0" xfId="0" applyFont="1" applyFill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horizontal="right" vertical="center" shrinkToFit="1"/>
      <protection hidden="1"/>
    </xf>
    <xf numFmtId="0" fontId="47" fillId="0" borderId="0" xfId="0" applyFont="1" applyFill="1" applyBorder="1" applyAlignment="1" applyProtection="1">
      <alignment horizontal="right" vertical="center" shrinkToFit="1"/>
      <protection hidden="1"/>
    </xf>
    <xf numFmtId="0" fontId="9" fillId="0" borderId="0" xfId="0" applyFont="1" applyFill="1" applyBorder="1" applyAlignment="1" applyProtection="1">
      <alignment vertical="center" shrinkToFit="1"/>
      <protection hidden="1"/>
    </xf>
    <xf numFmtId="0" fontId="22" fillId="0" borderId="0" xfId="0" applyFont="1" applyFill="1" applyBorder="1" applyAlignment="1" applyProtection="1">
      <alignment vertical="center" readingOrder="1"/>
      <protection hidden="1"/>
    </xf>
    <xf numFmtId="0" fontId="6" fillId="0" borderId="6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top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0" fontId="43" fillId="4" borderId="0" xfId="3" applyFont="1" applyFill="1" applyAlignment="1" applyProtection="1">
      <alignment horizontal="left" vertical="top"/>
      <protection hidden="1"/>
    </xf>
    <xf numFmtId="6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0" fontId="41" fillId="4" borderId="0" xfId="3" applyFont="1" applyFill="1" applyAlignment="1" applyProtection="1">
      <alignment horizontal="left" vertical="center"/>
      <protection hidden="1"/>
    </xf>
    <xf numFmtId="169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169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17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7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17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0" xfId="1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1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2" fillId="0" borderId="0" xfId="0" applyFont="1" applyFill="1" applyBorder="1" applyAlignment="1" applyProtection="1">
      <alignment horizontal="left" indent="1" readingOrder="1"/>
      <protection hidden="1"/>
    </xf>
    <xf numFmtId="0" fontId="17" fillId="0" borderId="0" xfId="0" applyFont="1" applyBorder="1" applyAlignment="1" applyProtection="1">
      <alignment horizontal="left" vertical="center" indent="1"/>
      <protection hidden="1"/>
    </xf>
    <xf numFmtId="16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6" fillId="4" borderId="0" xfId="0" applyFont="1" applyFill="1" applyAlignment="1" applyProtection="1">
      <alignment horizontal="left" indent="1"/>
      <protection hidden="1"/>
    </xf>
    <xf numFmtId="169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4" borderId="0" xfId="0" applyFont="1" applyFill="1" applyBorder="1" applyAlignment="1" applyProtection="1">
      <alignment horizontal="left" vertical="center" indent="1" readingOrder="1"/>
      <protection hidden="1"/>
    </xf>
    <xf numFmtId="0" fontId="42" fillId="4" borderId="0" xfId="0" applyFont="1" applyFill="1" applyAlignment="1" applyProtection="1">
      <alignment horizontal="left" indent="1"/>
      <protection hidden="1"/>
    </xf>
    <xf numFmtId="0" fontId="31" fillId="2" borderId="0" xfId="0" applyFont="1" applyFill="1" applyBorder="1" applyAlignment="1" applyProtection="1">
      <alignment horizontal="left" vertical="center" indent="1" readingOrder="1"/>
      <protection hidden="1"/>
    </xf>
    <xf numFmtId="0" fontId="4" fillId="2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3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vertical="center" readingOrder="1"/>
      <protection hidden="1"/>
    </xf>
    <xf numFmtId="0" fontId="23" fillId="2" borderId="6" xfId="0" applyFont="1" applyFill="1" applyBorder="1" applyAlignment="1" applyProtection="1">
      <alignment horizontal="right" vertical="center" readingOrder="1"/>
      <protection hidden="1"/>
    </xf>
    <xf numFmtId="164" fontId="36" fillId="4" borderId="0" xfId="0" applyNumberFormat="1" applyFont="1" applyFill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Font="1" applyFill="1" applyBorder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center" vertical="center" shrinkToFit="1" readingOrder="1"/>
      <protection hidden="1"/>
    </xf>
    <xf numFmtId="17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7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right" vertical="center" readingOrder="1"/>
      <protection hidden="1"/>
    </xf>
    <xf numFmtId="8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33" fillId="0" borderId="0" xfId="2" applyNumberFormat="1" applyFont="1" applyAlignment="1" applyProtection="1">
      <alignment horizontal="right" vertical="center" shrinkToFit="1" readingOrder="1"/>
      <protection hidden="1"/>
    </xf>
    <xf numFmtId="173" fontId="4" fillId="4" borderId="0" xfId="2" applyNumberFormat="1" applyFont="1" applyFill="1" applyAlignment="1" applyProtection="1">
      <alignment horizontal="left" vertical="center" readingOrder="1"/>
      <protection hidden="1"/>
    </xf>
    <xf numFmtId="180" fontId="9" fillId="4" borderId="0" xfId="0" applyNumberFormat="1" applyFont="1" applyFill="1" applyAlignment="1" applyProtection="1">
      <alignment horizontal="left" vertical="center"/>
      <protection hidden="1"/>
    </xf>
    <xf numFmtId="181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41" fillId="4" borderId="0" xfId="3" applyFill="1" applyAlignment="1" applyProtection="1">
      <alignment horizontal="left" vertical="top"/>
      <protection hidden="1"/>
    </xf>
    <xf numFmtId="6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left" vertical="top"/>
      <protection hidden="1"/>
    </xf>
    <xf numFmtId="169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4" fillId="2" borderId="0" xfId="2" applyNumberFormat="1" applyFont="1" applyFill="1" applyAlignment="1" applyProtection="1">
      <alignment horizontal="left" vertical="center" readingOrder="1"/>
      <protection hidden="1"/>
    </xf>
    <xf numFmtId="169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8" fontId="6" fillId="0" borderId="0" xfId="0" applyNumberFormat="1" applyFont="1" applyAlignment="1" applyProtection="1">
      <alignment horizontal="right" vertical="center" readingOrder="1"/>
      <protection hidden="1"/>
    </xf>
    <xf numFmtId="8" fontId="6" fillId="4" borderId="0" xfId="0" applyNumberFormat="1" applyFont="1" applyFill="1" applyAlignment="1" applyProtection="1">
      <alignment horizontal="right" vertical="center" readingOrder="1"/>
      <protection hidden="1"/>
    </xf>
    <xf numFmtId="0" fontId="22" fillId="2" borderId="0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indent="1" readingOrder="1"/>
      <protection hidden="1"/>
    </xf>
    <xf numFmtId="0" fontId="45" fillId="4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Fill="1" applyBorder="1" applyAlignment="1" applyProtection="1">
      <alignment horizontal="left" vertical="center" indent="1" readingOrder="1"/>
      <protection hidden="1"/>
    </xf>
    <xf numFmtId="0" fontId="37" fillId="0" borderId="6" xfId="0" applyFont="1" applyFill="1" applyBorder="1" applyAlignment="1" applyProtection="1">
      <alignment horizontal="left" vertical="center" indent="1" readingOrder="1"/>
      <protection hidden="1"/>
    </xf>
    <xf numFmtId="0" fontId="37" fillId="0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Alignment="1" applyProtection="1">
      <alignment horizontal="left" vertical="center" indent="1" readingOrder="1"/>
      <protection hidden="1"/>
    </xf>
    <xf numFmtId="0" fontId="45" fillId="4" borderId="0" xfId="0" applyFont="1" applyFill="1" applyAlignment="1" applyProtection="1">
      <alignment horizontal="left" vertical="center" indent="1" readingOrder="1"/>
      <protection hidden="1"/>
    </xf>
    <xf numFmtId="0" fontId="45" fillId="0" borderId="0" xfId="0" applyFont="1" applyBorder="1" applyAlignment="1" applyProtection="1">
      <alignment horizontal="left" vertical="center" indent="1" readingOrder="1"/>
      <protection hidden="1"/>
    </xf>
    <xf numFmtId="0" fontId="12" fillId="0" borderId="0" xfId="0" applyFont="1" applyFill="1" applyBorder="1" applyAlignment="1" applyProtection="1">
      <alignment horizontal="left" vertical="center" indent="1" readingOrder="1"/>
      <protection hidden="1"/>
    </xf>
    <xf numFmtId="0" fontId="22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0" borderId="0" xfId="0" applyFont="1" applyAlignment="1" applyProtection="1">
      <alignment horizontal="left" vertical="center" indent="1" readingOrder="1"/>
      <protection hidden="1"/>
    </xf>
    <xf numFmtId="0" fontId="20" fillId="4" borderId="1" xfId="0" applyFont="1" applyFill="1" applyBorder="1" applyAlignment="1" applyProtection="1">
      <alignment horizontal="left" vertical="center" indent="1"/>
      <protection hidden="1"/>
    </xf>
    <xf numFmtId="8" fontId="1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0" fontId="14" fillId="0" borderId="0" xfId="0" applyFont="1" applyFill="1" applyBorder="1" applyAlignment="1" applyProtection="1">
      <alignment horizontal="left" vertical="center" indent="1" readingOrder="1"/>
      <protection hidden="1"/>
    </xf>
    <xf numFmtId="0" fontId="6" fillId="0" borderId="0" xfId="0" applyFont="1" applyAlignment="1" applyProtection="1">
      <alignment horizontal="left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178" fontId="6" fillId="3" borderId="3" xfId="2" applyNumberFormat="1" applyFont="1" applyFill="1" applyBorder="1" applyAlignment="1" applyProtection="1">
      <alignment horizontal="center" vertical="center" readingOrder="1"/>
      <protection locked="0" hidden="1"/>
    </xf>
    <xf numFmtId="178" fontId="6" fillId="3" borderId="2" xfId="2" applyNumberFormat="1" applyFont="1" applyFill="1" applyBorder="1" applyAlignment="1" applyProtection="1">
      <alignment horizontal="center" vertical="center" readingOrder="1"/>
      <protection locked="0" hidden="1"/>
    </xf>
    <xf numFmtId="178" fontId="6" fillId="3" borderId="20" xfId="2" applyNumberFormat="1" applyFont="1" applyFill="1" applyBorder="1" applyAlignment="1" applyProtection="1">
      <alignment horizontal="center" vertical="center" readingOrder="1"/>
      <protection locked="0" hidden="1"/>
    </xf>
    <xf numFmtId="0" fontId="0" fillId="2" borderId="0" xfId="0" applyFill="1" applyBorder="1" applyProtection="1"/>
    <xf numFmtId="169" fontId="0" fillId="2" borderId="0" xfId="2" applyNumberFormat="1" applyFont="1" applyFill="1" applyBorder="1" applyProtection="1"/>
    <xf numFmtId="0" fontId="49" fillId="2" borderId="0" xfId="0" applyFont="1" applyFill="1" applyBorder="1" applyProtection="1"/>
    <xf numFmtId="0" fontId="0" fillId="2" borderId="6" xfId="0" applyFill="1" applyBorder="1" applyProtection="1"/>
    <xf numFmtId="0" fontId="0" fillId="2" borderId="6" xfId="0" applyFill="1" applyBorder="1" applyAlignment="1" applyProtection="1">
      <alignment horizontal="right"/>
    </xf>
    <xf numFmtId="0" fontId="49" fillId="2" borderId="6" xfId="0" applyFont="1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>
      <alignment horizontal="right"/>
    </xf>
    <xf numFmtId="0" fontId="45" fillId="0" borderId="6" xfId="0" applyFont="1" applyFill="1" applyBorder="1" applyAlignment="1" applyProtection="1">
      <alignment horizontal="left" vertical="center" indent="1" readingOrder="1"/>
      <protection hidden="1"/>
    </xf>
    <xf numFmtId="0" fontId="4" fillId="0" borderId="0" xfId="0" applyFont="1" applyAlignment="1" applyProtection="1">
      <alignment horizontal="left" vertical="top" indent="1"/>
      <protection hidden="1"/>
    </xf>
    <xf numFmtId="0" fontId="20" fillId="4" borderId="1" xfId="0" applyFont="1" applyFill="1" applyBorder="1" applyAlignment="1" applyProtection="1">
      <alignment horizontal="left" vertical="center" indent="1" readingOrder="1"/>
      <protection hidden="1"/>
    </xf>
    <xf numFmtId="164" fontId="19" fillId="4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4" borderId="1" xfId="0" applyNumberFormat="1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vertical="center" indent="1" readingOrder="1"/>
      <protection hidden="1"/>
    </xf>
    <xf numFmtId="0" fontId="9" fillId="0" borderId="6" xfId="0" applyFont="1" applyBorder="1" applyAlignment="1" applyProtection="1">
      <alignment horizontal="left" vertical="center" indent="1"/>
      <protection hidden="1"/>
    </xf>
    <xf numFmtId="0" fontId="9" fillId="0" borderId="0" xfId="0" applyFont="1" applyAlignment="1" applyProtection="1">
      <alignment horizontal="left" vertical="center" indent="1"/>
      <protection hidden="1"/>
    </xf>
    <xf numFmtId="0" fontId="6" fillId="4" borderId="0" xfId="0" applyFont="1" applyFill="1" applyBorder="1" applyAlignment="1" applyProtection="1">
      <alignment horizontal="left" vertical="center" indent="2" shrinkToFit="1"/>
      <protection hidden="1"/>
    </xf>
    <xf numFmtId="0" fontId="6" fillId="0" borderId="0" xfId="0" applyFont="1" applyFill="1" applyBorder="1" applyAlignment="1" applyProtection="1">
      <alignment horizontal="left" vertical="center" indent="2" shrinkToFit="1"/>
      <protection hidden="1"/>
    </xf>
    <xf numFmtId="0" fontId="6" fillId="4" borderId="1" xfId="0" applyFont="1" applyFill="1" applyBorder="1" applyAlignment="1" applyProtection="1">
      <alignment horizontal="left" vertical="center" indent="2" shrinkToFit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vertical="center" shrinkToFit="1" readingOrder="1"/>
      <protection hidden="1"/>
    </xf>
    <xf numFmtId="0" fontId="20" fillId="4" borderId="1" xfId="0" applyFont="1" applyFill="1" applyBorder="1" applyAlignment="1" applyProtection="1">
      <alignment vertical="center" shrinkToFit="1" readingOrder="1"/>
      <protection hidden="1"/>
    </xf>
    <xf numFmtId="0" fontId="20" fillId="0" borderId="0" xfId="0" applyFont="1" applyFill="1" applyBorder="1" applyAlignment="1" applyProtection="1">
      <alignment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76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36" fillId="4" borderId="6" xfId="0" applyNumberFormat="1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left" vertical="center" shrinkToFit="1"/>
      <protection hidden="1"/>
    </xf>
    <xf numFmtId="0" fontId="3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2" shrinkToFit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169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6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4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1" shrinkToFit="1"/>
      <protection hidden="1"/>
    </xf>
    <xf numFmtId="169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169" fontId="6" fillId="4" borderId="17" xfId="2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3" fillId="0" borderId="1" xfId="0" applyFont="1" applyFill="1" applyBorder="1" applyAlignment="1" applyProtection="1">
      <alignment horizontal="left" vertical="center" indent="1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9" xfId="0" applyNumberFormat="1" applyFont="1" applyFill="1" applyBorder="1" applyAlignment="1" applyProtection="1">
      <alignment horizontal="center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0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1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7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2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3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5" xfId="0" applyFont="1" applyFill="1" applyBorder="1" applyAlignment="1" applyProtection="1">
      <alignment horizontal="lef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shrinkToFit="1" readingOrder="1"/>
      <protection hidden="1"/>
    </xf>
    <xf numFmtId="169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0" fillId="4" borderId="0" xfId="0" applyFont="1" applyFill="1" applyAlignment="1" applyProtection="1">
      <alignment horizontal="left" shrinkToFit="1"/>
      <protection hidden="1"/>
    </xf>
    <xf numFmtId="0" fontId="4" fillId="4" borderId="0" xfId="0" applyFont="1" applyFill="1" applyAlignment="1" applyProtection="1">
      <alignment horizontal="left" vertical="top" indent="2" shrinkToFit="1"/>
      <protection hidden="1"/>
    </xf>
    <xf numFmtId="0" fontId="20" fillId="4" borderId="14" xfId="0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1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6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44" fontId="6" fillId="4" borderId="17" xfId="2" applyFont="1" applyFill="1" applyBorder="1" applyAlignment="1" applyProtection="1">
      <alignment horizontal="right" vertical="center" shrinkToFit="1" readingOrder="1"/>
      <protection hidden="1"/>
    </xf>
    <xf numFmtId="44" fontId="6" fillId="4" borderId="16" xfId="2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44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6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</cellXfs>
  <cellStyles count="5">
    <cellStyle name="Hyperlänk" xfId="3" builtinId="8"/>
    <cellStyle name="Normal" xfId="0" builtinId="0"/>
    <cellStyle name="Procent" xfId="1" builtinId="5"/>
    <cellStyle name="Tusental" xfId="4" builtinId="3"/>
    <cellStyle name="Valuta" xfId="2" builtinId="4"/>
  </cellStyles>
  <dxfs count="82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</dxfs>
  <tableStyles count="0" defaultTableStyle="TableStyleMedium2" defaultPivotStyle="PivotStyleLight16"/>
  <colors>
    <mruColors>
      <color rgb="FFEB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F591FD8-1F03-7446-A82E-EB51A6B75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397A6A5-0DAC-6843-8AFD-E6491BB0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48" y="970086"/>
          <a:ext cx="1705009" cy="385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fespring 1">
      <a:dk1>
        <a:srgbClr val="414141"/>
      </a:dk1>
      <a:lt1>
        <a:srgbClr val="FAFEFE"/>
      </a:lt1>
      <a:dk2>
        <a:srgbClr val="414141"/>
      </a:dk2>
      <a:lt2>
        <a:srgbClr val="FAFEFE"/>
      </a:lt2>
      <a:accent1>
        <a:srgbClr val="3B9BCC"/>
      </a:accent1>
      <a:accent2>
        <a:srgbClr val="FD7E0D"/>
      </a:accent2>
      <a:accent3>
        <a:srgbClr val="FD7E0D"/>
      </a:accent3>
      <a:accent4>
        <a:srgbClr val="00EE77"/>
      </a:accent4>
      <a:accent5>
        <a:srgbClr val="1C739D"/>
      </a:accent5>
      <a:accent6>
        <a:srgbClr val="35D140"/>
      </a:accent6>
      <a:hlink>
        <a:srgbClr val="FD7E0D"/>
      </a:hlink>
      <a:folHlink>
        <a:srgbClr val="FD7E0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com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AD8D-DB86-8944-98B9-95A3CC61EDFC}">
  <sheetPr>
    <pageSetUpPr fitToPage="1"/>
  </sheetPr>
  <dimension ref="A1:AI606"/>
  <sheetViews>
    <sheetView showGridLines="0" zoomScale="93" zoomScaleNormal="90" zoomScaleSheetLayoutView="100" workbookViewId="0">
      <selection activeCell="Q29" sqref="Q29"/>
    </sheetView>
  </sheetViews>
  <sheetFormatPr baseColWidth="10" defaultColWidth="15" defaultRowHeight="25.5" customHeight="1"/>
  <cols>
    <col min="1" max="1" width="11.83203125" style="208" customWidth="1"/>
    <col min="2" max="2" width="31" style="45" customWidth="1"/>
    <col min="3" max="3" width="17.5" style="10" customWidth="1"/>
    <col min="4" max="4" width="15" style="10"/>
    <col min="5" max="5" width="15.6640625" style="10" bestFit="1" customWidth="1"/>
    <col min="6" max="6" width="18.5" style="208" bestFit="1" customWidth="1"/>
    <col min="7" max="7" width="20.6640625" style="208" customWidth="1"/>
    <col min="8" max="8" width="17.1640625" style="208" bestFit="1" customWidth="1"/>
    <col min="9" max="9" width="15" style="208"/>
    <col min="10" max="10" width="15" style="173"/>
    <col min="11" max="11" width="15" style="209"/>
    <col min="12" max="12" width="15" style="173"/>
    <col min="13" max="13" width="15" style="364"/>
    <col min="14" max="14" width="11.83203125" style="208" customWidth="1"/>
    <col min="15" max="15" width="15" style="341"/>
    <col min="16" max="16384" width="15" style="208"/>
  </cols>
  <sheetData>
    <row r="1" spans="1:29" s="173" customFormat="1" ht="25.5" customHeight="1">
      <c r="A1" s="169"/>
      <c r="B1" s="63"/>
      <c r="C1" s="63"/>
      <c r="D1" s="2"/>
      <c r="E1" s="2"/>
      <c r="F1" s="169"/>
      <c r="G1" s="169"/>
      <c r="H1" s="169"/>
      <c r="I1" s="169"/>
      <c r="J1" s="169"/>
      <c r="K1" s="170"/>
      <c r="L1" s="169"/>
      <c r="M1" s="171"/>
      <c r="N1" s="171"/>
      <c r="O1" s="169"/>
      <c r="P1" s="172"/>
    </row>
    <row r="2" spans="1:29" s="173" customFormat="1" ht="25.5" customHeight="1">
      <c r="A2" s="169"/>
      <c r="B2" s="63"/>
      <c r="C2" s="63"/>
      <c r="D2" s="2"/>
      <c r="E2" s="2"/>
      <c r="F2" s="169"/>
      <c r="G2" s="169"/>
      <c r="H2" s="169"/>
      <c r="I2" s="169"/>
      <c r="J2" s="169"/>
      <c r="K2" s="170"/>
      <c r="L2" s="169"/>
      <c r="M2" s="171"/>
      <c r="N2" s="171"/>
      <c r="O2" s="169"/>
      <c r="P2" s="172"/>
    </row>
    <row r="3" spans="1:29" s="173" customFormat="1" ht="25.5" customHeight="1">
      <c r="A3" s="169"/>
      <c r="B3" s="63"/>
      <c r="C3" s="63"/>
      <c r="D3" s="2"/>
      <c r="E3" s="2"/>
      <c r="F3" s="169"/>
      <c r="G3" s="169"/>
      <c r="H3" s="169"/>
      <c r="I3" s="169"/>
      <c r="J3" s="169"/>
      <c r="K3" s="170"/>
      <c r="L3" s="169"/>
      <c r="M3" s="171"/>
      <c r="N3" s="171"/>
      <c r="O3" s="169"/>
      <c r="P3" s="172"/>
    </row>
    <row r="4" spans="1:29" s="173" customFormat="1" ht="25.5" customHeight="1">
      <c r="A4" s="169"/>
      <c r="B4" s="569"/>
      <c r="C4" s="569"/>
      <c r="D4" s="2"/>
      <c r="E4" s="2"/>
      <c r="F4" s="169"/>
      <c r="G4" s="169"/>
      <c r="H4" s="169"/>
      <c r="I4" s="169"/>
      <c r="J4" s="169"/>
      <c r="K4" s="170"/>
      <c r="L4" s="169"/>
      <c r="M4" s="171"/>
      <c r="N4" s="171"/>
      <c r="O4" s="169"/>
      <c r="P4" s="172"/>
    </row>
    <row r="5" spans="1:29" s="173" customFormat="1" ht="25.5" customHeight="1">
      <c r="A5" s="169"/>
      <c r="B5" s="67" t="s">
        <v>215</v>
      </c>
      <c r="C5" s="67"/>
      <c r="D5" s="2"/>
      <c r="E5" s="2"/>
      <c r="F5" s="169"/>
      <c r="G5" s="169"/>
      <c r="H5" s="169"/>
      <c r="I5" s="169"/>
      <c r="J5" s="169"/>
      <c r="K5" s="170"/>
      <c r="L5" s="169"/>
      <c r="M5" s="171"/>
      <c r="N5" s="171"/>
      <c r="O5" s="169"/>
      <c r="P5" s="172"/>
    </row>
    <row r="6" spans="1:29" s="173" customFormat="1" ht="25.5" customHeight="1">
      <c r="A6" s="169"/>
      <c r="B6" s="452"/>
      <c r="C6" s="63"/>
      <c r="D6" s="2"/>
      <c r="E6" s="2"/>
      <c r="F6" s="169"/>
      <c r="G6" s="169"/>
      <c r="H6" s="169"/>
      <c r="I6" s="169"/>
      <c r="J6" s="169"/>
      <c r="K6" s="170"/>
      <c r="L6" s="169"/>
      <c r="M6" s="171"/>
      <c r="N6" s="171"/>
      <c r="O6" s="169"/>
      <c r="P6" s="172"/>
    </row>
    <row r="7" spans="1:29" s="173" customFormat="1" ht="25.5" customHeight="1">
      <c r="A7" s="169"/>
      <c r="B7" s="453"/>
      <c r="C7" s="63"/>
      <c r="D7" s="2"/>
      <c r="E7" s="2"/>
      <c r="F7" s="169"/>
      <c r="G7" s="169"/>
      <c r="H7" s="169"/>
      <c r="I7" s="169"/>
      <c r="J7" s="169"/>
      <c r="K7" s="170"/>
      <c r="L7" s="169"/>
      <c r="M7" s="171"/>
      <c r="N7" s="171"/>
      <c r="O7" s="169"/>
      <c r="P7" s="172"/>
    </row>
    <row r="8" spans="1:29" s="173" customFormat="1" ht="25.5" customHeight="1">
      <c r="A8" s="169"/>
      <c r="B8" s="70" t="s">
        <v>216</v>
      </c>
      <c r="C8" s="63"/>
      <c r="D8" s="70" t="s">
        <v>217</v>
      </c>
      <c r="E8" s="2"/>
      <c r="F8" s="169"/>
      <c r="G8" s="169"/>
      <c r="H8" s="169"/>
      <c r="I8" s="169"/>
      <c r="J8" s="169"/>
      <c r="K8" s="170"/>
      <c r="L8" s="169"/>
      <c r="M8" s="171"/>
      <c r="N8" s="171"/>
      <c r="O8" s="169"/>
      <c r="P8" s="172"/>
    </row>
    <row r="9" spans="1:29" s="173" customFormat="1" ht="25.5" customHeight="1">
      <c r="A9" s="169"/>
      <c r="B9" s="81" t="s">
        <v>312</v>
      </c>
      <c r="C9" s="63"/>
      <c r="D9" s="81" t="s">
        <v>311</v>
      </c>
      <c r="E9" s="63"/>
      <c r="F9" s="169"/>
      <c r="G9" s="169"/>
      <c r="H9" s="169"/>
      <c r="I9" s="169"/>
      <c r="J9" s="169"/>
      <c r="K9" s="170"/>
      <c r="L9" s="169"/>
      <c r="M9" s="171"/>
      <c r="N9" s="171"/>
      <c r="O9" s="169"/>
      <c r="P9" s="172"/>
    </row>
    <row r="10" spans="1:29" s="173" customFormat="1" ht="25.5" customHeight="1">
      <c r="A10" s="169"/>
      <c r="B10" s="509" t="s">
        <v>301</v>
      </c>
      <c r="C10" s="456"/>
      <c r="D10" s="511" t="str">
        <f>"1 SEK = "&amp;EUR&amp;" EUR"</f>
        <v>1 SEK = 0,094718 EUR</v>
      </c>
      <c r="E10" s="507"/>
      <c r="F10" s="169"/>
      <c r="G10" s="169"/>
      <c r="H10" s="169"/>
      <c r="I10" s="169"/>
      <c r="J10" s="169"/>
      <c r="K10" s="170"/>
      <c r="L10" s="169"/>
      <c r="M10" s="171"/>
      <c r="N10" s="171"/>
      <c r="O10" s="169"/>
      <c r="P10" s="172"/>
    </row>
    <row r="11" spans="1:29" s="181" customFormat="1" ht="25.5" customHeight="1">
      <c r="A11" s="174"/>
      <c r="B11" s="64"/>
      <c r="C11" s="64"/>
      <c r="D11" s="3"/>
      <c r="E11" s="3"/>
      <c r="F11" s="174"/>
      <c r="G11" s="176"/>
      <c r="H11" s="176"/>
      <c r="I11" s="177"/>
      <c r="J11" s="174"/>
      <c r="K11" s="178"/>
      <c r="L11" s="174"/>
      <c r="M11" s="179"/>
      <c r="N11" s="179"/>
      <c r="O11" s="174"/>
      <c r="P11" s="180"/>
    </row>
    <row r="12" spans="1:29" s="181" customFormat="1" ht="25.5" customHeight="1">
      <c r="A12" s="182"/>
      <c r="B12" s="66"/>
      <c r="C12" s="66"/>
      <c r="D12" s="65"/>
      <c r="E12" s="65"/>
      <c r="F12" s="182"/>
      <c r="G12" s="183"/>
      <c r="H12" s="183"/>
      <c r="I12" s="184"/>
      <c r="J12" s="182"/>
      <c r="K12" s="185"/>
      <c r="L12" s="182"/>
      <c r="M12" s="186"/>
      <c r="N12" s="186"/>
      <c r="O12" s="187"/>
      <c r="P12" s="180"/>
    </row>
    <row r="13" spans="1:29" s="181" customFormat="1" ht="25.5" customHeight="1">
      <c r="B13" s="5"/>
      <c r="C13" s="4"/>
      <c r="D13" s="4"/>
      <c r="E13" s="4"/>
      <c r="G13" s="188"/>
      <c r="H13" s="188"/>
      <c r="I13" s="189"/>
      <c r="K13" s="190"/>
      <c r="M13" s="191"/>
      <c r="N13" s="191"/>
      <c r="P13" s="180"/>
    </row>
    <row r="14" spans="1:29" s="181" customFormat="1" ht="25.5" customHeight="1">
      <c r="B14" s="5"/>
      <c r="C14" s="4"/>
      <c r="D14" s="4"/>
      <c r="E14" s="4"/>
      <c r="G14" s="188"/>
      <c r="H14" s="188"/>
      <c r="I14" s="189"/>
      <c r="K14" s="190"/>
      <c r="M14" s="191"/>
      <c r="N14" s="191"/>
      <c r="P14" s="180"/>
    </row>
    <row r="15" spans="1:29" s="192" customFormat="1" ht="25.5" customHeight="1">
      <c r="B15" s="570" t="s">
        <v>3</v>
      </c>
      <c r="C15" s="570"/>
      <c r="D15" s="570"/>
      <c r="E15" s="570"/>
      <c r="F15" s="570"/>
      <c r="G15" s="570"/>
      <c r="H15" s="193"/>
      <c r="J15" s="194"/>
      <c r="K15" s="194"/>
      <c r="M15" s="195"/>
      <c r="N15" s="195"/>
      <c r="P15" s="196"/>
      <c r="V15" s="197"/>
      <c r="AA15" s="197"/>
      <c r="AB15" s="197"/>
      <c r="AC15" s="197"/>
    </row>
    <row r="16" spans="1:29" s="192" customFormat="1" ht="25.5" customHeight="1">
      <c r="B16" s="570"/>
      <c r="C16" s="570"/>
      <c r="D16" s="570"/>
      <c r="E16" s="570"/>
      <c r="F16" s="570"/>
      <c r="G16" s="570"/>
      <c r="H16" s="193"/>
      <c r="J16" s="194"/>
      <c r="K16" s="194"/>
      <c r="M16" s="195"/>
      <c r="N16" s="195"/>
      <c r="P16" s="196"/>
      <c r="V16" s="197"/>
      <c r="AA16" s="197"/>
      <c r="AB16" s="197"/>
      <c r="AC16" s="197"/>
    </row>
    <row r="17" spans="2:29" s="192" customFormat="1" ht="25.5" customHeight="1">
      <c r="B17" s="570"/>
      <c r="C17" s="570"/>
      <c r="D17" s="570"/>
      <c r="E17" s="570"/>
      <c r="F17" s="570"/>
      <c r="G17" s="570"/>
      <c r="H17" s="193"/>
      <c r="J17" s="194"/>
      <c r="K17" s="194"/>
      <c r="M17" s="195"/>
      <c r="N17" s="195"/>
      <c r="P17" s="196"/>
      <c r="V17" s="197"/>
      <c r="AA17" s="197"/>
      <c r="AB17" s="197"/>
      <c r="AC17" s="197"/>
    </row>
    <row r="18" spans="2:29" s="192" customFormat="1" ht="25.5" customHeight="1">
      <c r="B18" s="477" t="s">
        <v>261</v>
      </c>
      <c r="C18" s="477"/>
      <c r="D18" s="477"/>
      <c r="E18" s="477"/>
      <c r="F18" s="478"/>
      <c r="H18" s="193"/>
      <c r="J18" s="194"/>
      <c r="K18" s="194"/>
      <c r="M18" s="195"/>
      <c r="N18" s="195"/>
      <c r="P18" s="196"/>
      <c r="V18" s="197"/>
      <c r="W18" s="197"/>
      <c r="X18" s="197"/>
      <c r="Y18" s="197"/>
      <c r="Z18" s="197"/>
      <c r="AA18" s="197"/>
      <c r="AB18" s="197"/>
      <c r="AC18" s="197"/>
    </row>
    <row r="19" spans="2:29" s="192" customFormat="1" ht="25.5" customHeight="1">
      <c r="B19" s="571" t="s">
        <v>218</v>
      </c>
      <c r="C19" s="571"/>
      <c r="D19" s="571"/>
      <c r="E19" s="571"/>
      <c r="F19" s="571"/>
      <c r="G19" s="199"/>
      <c r="H19" s="200"/>
      <c r="I19" s="199"/>
      <c r="J19" s="201"/>
      <c r="K19" s="202"/>
      <c r="L19" s="199"/>
      <c r="M19" s="203"/>
      <c r="N19" s="203"/>
      <c r="O19" s="199"/>
      <c r="P19" s="204"/>
      <c r="V19" s="197"/>
      <c r="W19" s="197"/>
      <c r="X19" s="197"/>
      <c r="Y19" s="197"/>
      <c r="Z19" s="197"/>
      <c r="AA19" s="197"/>
      <c r="AB19" s="197"/>
      <c r="AC19" s="197"/>
    </row>
    <row r="20" spans="2:29" s="192" customFormat="1" ht="25.5" customHeight="1">
      <c r="B20" s="8" t="s">
        <v>219</v>
      </c>
      <c r="C20" s="78"/>
      <c r="D20" s="78"/>
      <c r="E20" s="78"/>
      <c r="F20" s="205"/>
      <c r="G20" s="199"/>
      <c r="H20" s="200"/>
      <c r="I20" s="199"/>
      <c r="J20" s="201"/>
      <c r="K20" s="202"/>
      <c r="L20" s="199"/>
      <c r="M20" s="203"/>
      <c r="N20" s="203"/>
      <c r="O20" s="199"/>
      <c r="P20" s="204"/>
      <c r="V20" s="197"/>
      <c r="W20" s="197"/>
      <c r="X20" s="197"/>
      <c r="Y20" s="197"/>
      <c r="Z20" s="206"/>
      <c r="AA20" s="207"/>
      <c r="AB20" s="197"/>
      <c r="AC20" s="197"/>
    </row>
    <row r="21" spans="2:29" s="192" customFormat="1" ht="25.5" customHeight="1">
      <c r="B21" s="145"/>
      <c r="C21" s="145"/>
      <c r="D21" s="145"/>
      <c r="E21" s="145"/>
      <c r="F21" s="205"/>
      <c r="G21" s="199"/>
      <c r="H21" s="200"/>
      <c r="I21" s="199"/>
      <c r="J21" s="201"/>
      <c r="K21" s="202"/>
      <c r="L21" s="199"/>
      <c r="M21" s="203"/>
      <c r="N21" s="203"/>
      <c r="O21" s="199"/>
      <c r="P21" s="204"/>
      <c r="S21" s="208"/>
      <c r="T21" s="208"/>
      <c r="U21" s="208"/>
      <c r="V21" s="197"/>
      <c r="W21" s="197"/>
      <c r="X21" s="197"/>
      <c r="Y21" s="197"/>
      <c r="Z21" s="197"/>
      <c r="AA21" s="197"/>
      <c r="AB21" s="206"/>
      <c r="AC21" s="197"/>
    </row>
    <row r="22" spans="2:29" s="192" customFormat="1" ht="25.5" customHeight="1">
      <c r="B22" s="145"/>
      <c r="C22" s="145"/>
      <c r="D22" s="145"/>
      <c r="E22" s="145"/>
      <c r="F22" s="205"/>
      <c r="G22" s="199"/>
      <c r="H22" s="200"/>
      <c r="I22" s="199"/>
      <c r="J22" s="201"/>
      <c r="K22" s="202"/>
      <c r="L22" s="199"/>
      <c r="M22" s="203"/>
      <c r="N22" s="203"/>
      <c r="O22" s="199"/>
      <c r="P22" s="204"/>
      <c r="S22" s="208"/>
      <c r="T22" s="208"/>
      <c r="U22" s="208"/>
      <c r="V22" s="197"/>
      <c r="W22" s="197"/>
      <c r="X22" s="197"/>
      <c r="Y22" s="197"/>
      <c r="Z22" s="197"/>
      <c r="AA22" s="197"/>
      <c r="AB22" s="206"/>
      <c r="AC22" s="197"/>
    </row>
    <row r="23" spans="2:29" ht="31">
      <c r="B23" s="517" t="s">
        <v>57</v>
      </c>
      <c r="C23" s="11"/>
      <c r="D23" s="11"/>
      <c r="I23" s="173"/>
      <c r="M23" s="210"/>
      <c r="N23" s="210"/>
      <c r="O23" s="208"/>
      <c r="P23" s="211"/>
    </row>
    <row r="24" spans="2:29" s="216" customFormat="1" ht="52">
      <c r="B24" s="518" t="s">
        <v>220</v>
      </c>
      <c r="C24" s="13" t="s">
        <v>8</v>
      </c>
      <c r="D24" s="13" t="s">
        <v>9</v>
      </c>
      <c r="E24" s="14" t="s">
        <v>227</v>
      </c>
      <c r="F24" s="212"/>
      <c r="G24" s="213" t="s">
        <v>221</v>
      </c>
      <c r="H24" s="213" t="s">
        <v>222</v>
      </c>
      <c r="I24" s="214" t="s">
        <v>58</v>
      </c>
      <c r="J24" s="214" t="s">
        <v>223</v>
      </c>
      <c r="K24" s="214" t="s">
        <v>224</v>
      </c>
      <c r="L24" s="215"/>
      <c r="M24" s="213" t="s">
        <v>59</v>
      </c>
      <c r="N24" s="213" t="s">
        <v>225</v>
      </c>
      <c r="P24" s="217"/>
      <c r="T24" s="218"/>
      <c r="U24" s="219"/>
      <c r="V24" s="219"/>
      <c r="W24" s="219"/>
      <c r="X24" s="218"/>
    </row>
    <row r="25" spans="2:29" s="197" customFormat="1" ht="25.5" customHeight="1">
      <c r="B25" s="519" t="s">
        <v>98</v>
      </c>
      <c r="C25" s="16">
        <v>1</v>
      </c>
      <c r="D25" s="16">
        <v>1</v>
      </c>
      <c r="E25" s="124">
        <v>40</v>
      </c>
      <c r="F25" s="220"/>
      <c r="G25" s="457">
        <f t="shared" ref="G25:G35" si="0">H25/720</f>
        <v>3.6703224999999999E-2</v>
      </c>
      <c r="H25" s="457">
        <f>C25*IAAS_vcpu_EUR+D25*IAAS_ram_EUR+E25*IAAS_ssd_EUR</f>
        <v>26.426321999999999</v>
      </c>
      <c r="I25" s="223"/>
      <c r="J25" s="223"/>
      <c r="K25" s="223"/>
      <c r="L25" s="220" t="s">
        <v>58</v>
      </c>
      <c r="M25" s="459">
        <f>ROUNDUP(I25*H25,2)</f>
        <v>0</v>
      </c>
      <c r="N25" s="459">
        <f t="shared" ref="N25:N35" si="1">J25*C25*SW_win.ser.201X_EUR+K25*C25*SW_ms.sql.ser_EUR</f>
        <v>0</v>
      </c>
      <c r="P25" s="225"/>
    </row>
    <row r="26" spans="2:29" s="197" customFormat="1" ht="25.5" customHeight="1">
      <c r="B26" s="520" t="s">
        <v>99</v>
      </c>
      <c r="C26" s="18">
        <v>1</v>
      </c>
      <c r="D26" s="18">
        <v>2</v>
      </c>
      <c r="E26" s="503">
        <v>40</v>
      </c>
      <c r="F26" s="226"/>
      <c r="G26" s="458">
        <f t="shared" si="0"/>
        <v>4.3938627777777781E-2</v>
      </c>
      <c r="H26" s="458">
        <f>C26*IAAS_vcpu_EUR+D26*IAAS_ram_EUR+E26*IAAS_ssd_EUR</f>
        <v>31.635812000000001</v>
      </c>
      <c r="I26" s="223"/>
      <c r="J26" s="223"/>
      <c r="K26" s="223"/>
      <c r="L26" s="226" t="str">
        <f t="shared" ref="L26:L35" si="2">L25</f>
        <v>Instances</v>
      </c>
      <c r="M26" s="460">
        <f t="shared" ref="M26:M35" si="3">ROUNDUP(I26*H26,2)</f>
        <v>0</v>
      </c>
      <c r="N26" s="505">
        <f t="shared" si="1"/>
        <v>0</v>
      </c>
      <c r="P26" s="225"/>
    </row>
    <row r="27" spans="2:29" s="197" customFormat="1" ht="25.5" customHeight="1">
      <c r="B27" s="519" t="s">
        <v>100</v>
      </c>
      <c r="C27" s="16">
        <v>2</v>
      </c>
      <c r="D27" s="16">
        <v>4</v>
      </c>
      <c r="E27" s="124">
        <v>40</v>
      </c>
      <c r="F27" s="220"/>
      <c r="G27" s="457">
        <f t="shared" si="0"/>
        <v>6.8933655555555556E-2</v>
      </c>
      <c r="H27" s="457">
        <f t="shared" ref="H27:H34" si="4">C27*IAAS_vcpu_EUR+D27*IAAS_ram_EUR+E27*IAAS_ssd_EUR</f>
        <v>49.632232000000002</v>
      </c>
      <c r="I27" s="223"/>
      <c r="J27" s="223"/>
      <c r="K27" s="223"/>
      <c r="L27" s="220" t="str">
        <f t="shared" si="2"/>
        <v>Instances</v>
      </c>
      <c r="M27" s="459">
        <f t="shared" si="3"/>
        <v>0</v>
      </c>
      <c r="N27" s="459">
        <f t="shared" si="1"/>
        <v>0</v>
      </c>
      <c r="O27" s="230"/>
      <c r="P27" s="225"/>
    </row>
    <row r="28" spans="2:29" s="197" customFormat="1" ht="25.5" customHeight="1">
      <c r="B28" s="520" t="s">
        <v>101</v>
      </c>
      <c r="C28" s="18">
        <v>4</v>
      </c>
      <c r="D28" s="18">
        <v>8</v>
      </c>
      <c r="E28" s="503">
        <v>40</v>
      </c>
      <c r="F28" s="226"/>
      <c r="G28" s="458">
        <f t="shared" si="0"/>
        <v>0.11892371111111112</v>
      </c>
      <c r="H28" s="458">
        <f t="shared" si="4"/>
        <v>85.625072000000003</v>
      </c>
      <c r="I28" s="223"/>
      <c r="J28" s="223"/>
      <c r="K28" s="223"/>
      <c r="L28" s="226" t="str">
        <f t="shared" si="2"/>
        <v>Instances</v>
      </c>
      <c r="M28" s="460">
        <f t="shared" si="3"/>
        <v>0</v>
      </c>
      <c r="N28" s="505">
        <f t="shared" si="1"/>
        <v>0</v>
      </c>
      <c r="P28" s="225"/>
    </row>
    <row r="29" spans="2:29" s="197" customFormat="1" ht="25.5" customHeight="1">
      <c r="B29" s="519" t="s">
        <v>102</v>
      </c>
      <c r="C29" s="16">
        <v>8</v>
      </c>
      <c r="D29" s="16">
        <v>16</v>
      </c>
      <c r="E29" s="124">
        <v>40</v>
      </c>
      <c r="F29" s="220"/>
      <c r="G29" s="457">
        <f t="shared" si="0"/>
        <v>0.21890382222222221</v>
      </c>
      <c r="H29" s="457">
        <f t="shared" si="4"/>
        <v>157.61075199999999</v>
      </c>
      <c r="I29" s="223"/>
      <c r="J29" s="223"/>
      <c r="K29" s="223"/>
      <c r="L29" s="220" t="str">
        <f t="shared" si="2"/>
        <v>Instances</v>
      </c>
      <c r="M29" s="459">
        <f t="shared" si="3"/>
        <v>0</v>
      </c>
      <c r="N29" s="459">
        <f t="shared" si="1"/>
        <v>0</v>
      </c>
      <c r="P29" s="225"/>
    </row>
    <row r="30" spans="2:29" s="197" customFormat="1" ht="25.5" customHeight="1">
      <c r="B30" s="520" t="s">
        <v>287</v>
      </c>
      <c r="C30" s="18">
        <v>16</v>
      </c>
      <c r="D30" s="18">
        <v>32</v>
      </c>
      <c r="E30" s="503">
        <v>40</v>
      </c>
      <c r="F30" s="226"/>
      <c r="G30" s="458">
        <f t="shared" si="0"/>
        <v>0.41886404444444442</v>
      </c>
      <c r="H30" s="458">
        <f t="shared" si="4"/>
        <v>301.582112</v>
      </c>
      <c r="I30" s="223"/>
      <c r="J30" s="223"/>
      <c r="K30" s="223"/>
      <c r="L30" s="226" t="str">
        <f t="shared" si="2"/>
        <v>Instances</v>
      </c>
      <c r="M30" s="460">
        <f t="shared" si="3"/>
        <v>0</v>
      </c>
      <c r="N30" s="505">
        <f t="shared" si="1"/>
        <v>0</v>
      </c>
      <c r="P30" s="225"/>
    </row>
    <row r="31" spans="2:29" s="197" customFormat="1" ht="25.5" customHeight="1">
      <c r="B31" s="519" t="s">
        <v>103</v>
      </c>
      <c r="C31" s="16">
        <v>1</v>
      </c>
      <c r="D31" s="16">
        <v>4</v>
      </c>
      <c r="E31" s="124">
        <v>40</v>
      </c>
      <c r="F31" s="220"/>
      <c r="G31" s="457">
        <f t="shared" si="0"/>
        <v>5.840943333333333E-2</v>
      </c>
      <c r="H31" s="457">
        <f t="shared" si="4"/>
        <v>42.054791999999999</v>
      </c>
      <c r="I31" s="223"/>
      <c r="J31" s="223"/>
      <c r="K31" s="223"/>
      <c r="L31" s="220" t="str">
        <f t="shared" si="2"/>
        <v>Instances</v>
      </c>
      <c r="M31" s="459">
        <f t="shared" si="3"/>
        <v>0</v>
      </c>
      <c r="N31" s="459">
        <f t="shared" si="1"/>
        <v>0</v>
      </c>
      <c r="P31" s="225"/>
    </row>
    <row r="32" spans="2:29" s="197" customFormat="1" ht="25.5" customHeight="1">
      <c r="B32" s="520" t="s">
        <v>104</v>
      </c>
      <c r="C32" s="18">
        <v>2</v>
      </c>
      <c r="D32" s="18">
        <v>8</v>
      </c>
      <c r="E32" s="503">
        <v>40</v>
      </c>
      <c r="F32" s="226"/>
      <c r="G32" s="458">
        <f t="shared" si="0"/>
        <v>9.7875266666666669E-2</v>
      </c>
      <c r="H32" s="458">
        <f t="shared" si="4"/>
        <v>70.470191999999997</v>
      </c>
      <c r="I32" s="223"/>
      <c r="J32" s="223"/>
      <c r="K32" s="223"/>
      <c r="L32" s="226" t="str">
        <f t="shared" si="2"/>
        <v>Instances</v>
      </c>
      <c r="M32" s="460">
        <f t="shared" si="3"/>
        <v>0</v>
      </c>
      <c r="N32" s="505">
        <f t="shared" si="1"/>
        <v>0</v>
      </c>
      <c r="P32" s="225"/>
    </row>
    <row r="33" spans="2:23" s="197" customFormat="1" ht="25.5" customHeight="1">
      <c r="B33" s="519" t="s">
        <v>211</v>
      </c>
      <c r="C33" s="16">
        <v>4</v>
      </c>
      <c r="D33" s="16">
        <v>16</v>
      </c>
      <c r="E33" s="124">
        <v>40</v>
      </c>
      <c r="F33" s="220"/>
      <c r="G33" s="457">
        <f t="shared" si="0"/>
        <v>0.17680693333333333</v>
      </c>
      <c r="H33" s="457">
        <f t="shared" si="4"/>
        <v>127.30099199999999</v>
      </c>
      <c r="I33" s="223"/>
      <c r="J33" s="223"/>
      <c r="K33" s="223"/>
      <c r="L33" s="220" t="str">
        <f t="shared" si="2"/>
        <v>Instances</v>
      </c>
      <c r="M33" s="459">
        <f t="shared" si="3"/>
        <v>0</v>
      </c>
      <c r="N33" s="459">
        <f t="shared" si="1"/>
        <v>0</v>
      </c>
      <c r="P33" s="225"/>
    </row>
    <row r="34" spans="2:23" s="197" customFormat="1" ht="25.5" customHeight="1">
      <c r="B34" s="520" t="s">
        <v>105</v>
      </c>
      <c r="C34" s="18">
        <v>8</v>
      </c>
      <c r="D34" s="18">
        <v>32</v>
      </c>
      <c r="E34" s="503">
        <v>40</v>
      </c>
      <c r="F34" s="226"/>
      <c r="G34" s="458">
        <f t="shared" si="0"/>
        <v>0.3346702666666666</v>
      </c>
      <c r="H34" s="458">
        <f t="shared" si="4"/>
        <v>240.96259199999997</v>
      </c>
      <c r="I34" s="223"/>
      <c r="J34" s="223"/>
      <c r="K34" s="223"/>
      <c r="L34" s="226" t="str">
        <f>L33</f>
        <v>Instances</v>
      </c>
      <c r="M34" s="460">
        <f t="shared" si="3"/>
        <v>0</v>
      </c>
      <c r="N34" s="505">
        <f t="shared" si="1"/>
        <v>0</v>
      </c>
      <c r="P34" s="225"/>
      <c r="U34" s="206"/>
      <c r="V34" s="206"/>
      <c r="W34" s="206"/>
    </row>
    <row r="35" spans="2:23" s="197" customFormat="1" ht="25.5" customHeight="1">
      <c r="B35" s="519" t="s">
        <v>288</v>
      </c>
      <c r="C35" s="16">
        <v>16</v>
      </c>
      <c r="D35" s="16">
        <v>64</v>
      </c>
      <c r="E35" s="124">
        <v>40</v>
      </c>
      <c r="F35" s="220"/>
      <c r="G35" s="457">
        <f t="shared" si="0"/>
        <v>0.65039693333333326</v>
      </c>
      <c r="H35" s="457">
        <f>C35*IAAS_vcpu_EUR+D35*IAAS_ram_EUR+E35*IAAS_ssd_EUR</f>
        <v>468.28579199999996</v>
      </c>
      <c r="I35" s="223"/>
      <c r="J35" s="223"/>
      <c r="K35" s="223"/>
      <c r="L35" s="220" t="str">
        <f t="shared" si="2"/>
        <v>Instances</v>
      </c>
      <c r="M35" s="459">
        <f t="shared" si="3"/>
        <v>0</v>
      </c>
      <c r="N35" s="459">
        <f t="shared" si="1"/>
        <v>0</v>
      </c>
      <c r="P35" s="225"/>
      <c r="U35" s="206"/>
      <c r="V35" s="206"/>
      <c r="W35" s="206"/>
    </row>
    <row r="36" spans="2:23" ht="25.5" customHeight="1">
      <c r="B36" s="521" t="s">
        <v>226</v>
      </c>
      <c r="C36" s="91"/>
      <c r="D36" s="91"/>
      <c r="E36" s="91"/>
      <c r="F36" s="231"/>
      <c r="G36" s="232"/>
      <c r="H36" s="233"/>
      <c r="I36" s="167">
        <f>SUM(I25:I35)</f>
        <v>0</v>
      </c>
      <c r="J36" s="167">
        <f>SUM(J25:J35)</f>
        <v>0</v>
      </c>
      <c r="K36" s="167">
        <f>SUM(K25:K35)</f>
        <v>0</v>
      </c>
      <c r="L36" s="168"/>
      <c r="M36" s="461">
        <f>SUM(M25:M35)</f>
        <v>0</v>
      </c>
      <c r="N36" s="462">
        <f>SUM(N25:N35)</f>
        <v>0</v>
      </c>
      <c r="O36" s="208"/>
      <c r="P36" s="211"/>
      <c r="U36" s="206"/>
      <c r="V36" s="206"/>
      <c r="W36" s="234"/>
    </row>
    <row r="37" spans="2:23" ht="25.5" customHeight="1">
      <c r="B37" s="522"/>
      <c r="C37" s="21"/>
      <c r="D37" s="21"/>
      <c r="E37" s="21"/>
      <c r="F37" s="235"/>
      <c r="G37" s="236"/>
      <c r="H37" s="237"/>
      <c r="I37" s="50"/>
      <c r="J37" s="50"/>
      <c r="K37" s="50"/>
      <c r="L37" s="238"/>
      <c r="M37" s="50"/>
      <c r="N37" s="51"/>
      <c r="O37" s="208"/>
      <c r="P37" s="211"/>
      <c r="U37" s="206"/>
      <c r="V37" s="206"/>
      <c r="W37" s="234"/>
    </row>
    <row r="38" spans="2:23" ht="25.5" customHeight="1">
      <c r="B38" s="522"/>
      <c r="C38" s="21"/>
      <c r="D38" s="21"/>
      <c r="E38" s="21"/>
      <c r="F38" s="235"/>
      <c r="G38" s="236"/>
      <c r="H38" s="237"/>
      <c r="I38" s="50"/>
      <c r="J38" s="50"/>
      <c r="K38" s="50"/>
      <c r="L38" s="238"/>
      <c r="M38" s="50"/>
      <c r="N38" s="51"/>
      <c r="O38" s="208"/>
      <c r="P38" s="211"/>
      <c r="U38" s="206"/>
      <c r="V38" s="206"/>
      <c r="W38" s="234"/>
    </row>
    <row r="39" spans="2:23" s="243" customFormat="1" ht="31">
      <c r="B39" s="479" t="s">
        <v>228</v>
      </c>
      <c r="C39" s="114"/>
      <c r="D39" s="114"/>
      <c r="E39" s="114"/>
      <c r="F39" s="239"/>
      <c r="G39" s="239"/>
      <c r="H39" s="240"/>
      <c r="I39" s="241"/>
      <c r="J39" s="241"/>
      <c r="K39" s="241"/>
      <c r="L39" s="241"/>
      <c r="M39" s="242"/>
      <c r="N39" s="242"/>
      <c r="P39" s="244"/>
      <c r="U39" s="245"/>
      <c r="V39" s="245"/>
      <c r="W39" s="246"/>
    </row>
    <row r="40" spans="2:23" s="247" customFormat="1" ht="52">
      <c r="B40" s="518" t="s">
        <v>220</v>
      </c>
      <c r="C40" s="13" t="s">
        <v>8</v>
      </c>
      <c r="D40" s="13" t="s">
        <v>9</v>
      </c>
      <c r="E40" s="14" t="s">
        <v>109</v>
      </c>
      <c r="F40" s="212"/>
      <c r="G40" s="213" t="s">
        <v>221</v>
      </c>
      <c r="H40" s="213" t="s">
        <v>222</v>
      </c>
      <c r="I40" s="214" t="s">
        <v>58</v>
      </c>
      <c r="J40" s="214" t="s">
        <v>223</v>
      </c>
      <c r="K40" s="214" t="s">
        <v>224</v>
      </c>
      <c r="L40" s="215"/>
      <c r="M40" s="213" t="s">
        <v>59</v>
      </c>
      <c r="N40" s="213" t="s">
        <v>225</v>
      </c>
      <c r="P40" s="211"/>
      <c r="Q40" s="208"/>
      <c r="R40" s="208"/>
      <c r="S40" s="208"/>
      <c r="T40" s="208"/>
      <c r="U40" s="206"/>
      <c r="V40" s="206"/>
      <c r="W40" s="234"/>
    </row>
    <row r="41" spans="2:23" s="197" customFormat="1" ht="25.5" customHeight="1">
      <c r="B41" s="524" t="s">
        <v>268</v>
      </c>
      <c r="C41" s="102">
        <v>1</v>
      </c>
      <c r="D41" s="102">
        <v>1</v>
      </c>
      <c r="E41" s="104">
        <v>80</v>
      </c>
      <c r="F41" s="252"/>
      <c r="G41" s="464">
        <f t="shared" ref="G41:G59" si="5">H41/720</f>
        <v>2.8283847222222217E-2</v>
      </c>
      <c r="H41" s="464">
        <f t="shared" ref="H41:H59" si="6">C41*IAAS_vcpu_EUR+D41*IAAS_ram_EUR+E41*IAAS_nvme_EUR</f>
        <v>20.364369999999997</v>
      </c>
      <c r="I41" s="223"/>
      <c r="J41" s="223"/>
      <c r="K41" s="223"/>
      <c r="L41" s="255" t="str">
        <f>L35</f>
        <v>Instances</v>
      </c>
      <c r="M41" s="459">
        <f t="shared" ref="M41:M59" si="7">ROUNDUP(I41*H41,2)</f>
        <v>0</v>
      </c>
      <c r="N41" s="459">
        <f t="shared" ref="N41:N59" si="8">J41*C41*SW_win.ser.201X_EUR+K41*C41*SW_ms.sql.ser_EUR</f>
        <v>0</v>
      </c>
      <c r="P41" s="225"/>
      <c r="U41" s="206"/>
      <c r="W41" s="206"/>
    </row>
    <row r="42" spans="2:23" s="197" customFormat="1" ht="25.5" customHeight="1">
      <c r="B42" s="525" t="s">
        <v>269</v>
      </c>
      <c r="C42" s="103">
        <v>4</v>
      </c>
      <c r="D42" s="103">
        <v>8</v>
      </c>
      <c r="E42" s="123">
        <v>250</v>
      </c>
      <c r="F42" s="256"/>
      <c r="G42" s="463">
        <f t="shared" si="5"/>
        <v>0.13286830555555557</v>
      </c>
      <c r="H42" s="463">
        <f t="shared" si="6"/>
        <v>95.665180000000007</v>
      </c>
      <c r="I42" s="223"/>
      <c r="J42" s="223"/>
      <c r="K42" s="223"/>
      <c r="L42" s="257" t="str">
        <f>L41</f>
        <v>Instances</v>
      </c>
      <c r="M42" s="460">
        <f t="shared" si="7"/>
        <v>0</v>
      </c>
      <c r="N42" s="460">
        <f t="shared" si="8"/>
        <v>0</v>
      </c>
      <c r="P42" s="225"/>
      <c r="U42" s="206"/>
      <c r="W42" s="206"/>
    </row>
    <row r="43" spans="2:23" s="197" customFormat="1" ht="25.5" customHeight="1">
      <c r="B43" s="524" t="s">
        <v>270</v>
      </c>
      <c r="C43" s="102">
        <v>8</v>
      </c>
      <c r="D43" s="102">
        <v>16</v>
      </c>
      <c r="E43" s="104">
        <v>250</v>
      </c>
      <c r="F43" s="252"/>
      <c r="G43" s="464">
        <f t="shared" si="5"/>
        <v>0.23284841666666667</v>
      </c>
      <c r="H43" s="464">
        <f t="shared" si="6"/>
        <v>167.65085999999999</v>
      </c>
      <c r="I43" s="223"/>
      <c r="J43" s="223"/>
      <c r="K43" s="223"/>
      <c r="L43" s="255" t="str">
        <f t="shared" ref="L43:L59" si="9">L42</f>
        <v>Instances</v>
      </c>
      <c r="M43" s="459">
        <f t="shared" si="7"/>
        <v>0</v>
      </c>
      <c r="N43" s="459">
        <f t="shared" si="8"/>
        <v>0</v>
      </c>
      <c r="P43" s="225"/>
      <c r="U43" s="206"/>
      <c r="W43" s="206"/>
    </row>
    <row r="44" spans="2:23" s="197" customFormat="1" ht="25.5" customHeight="1">
      <c r="B44" s="525" t="s">
        <v>271</v>
      </c>
      <c r="C44" s="103">
        <v>16</v>
      </c>
      <c r="D44" s="103">
        <v>32</v>
      </c>
      <c r="E44" s="123">
        <v>250</v>
      </c>
      <c r="F44" s="256"/>
      <c r="G44" s="463">
        <f t="shared" si="5"/>
        <v>0.43280863888888893</v>
      </c>
      <c r="H44" s="463">
        <f t="shared" si="6"/>
        <v>311.62222000000003</v>
      </c>
      <c r="I44" s="223"/>
      <c r="J44" s="223"/>
      <c r="K44" s="223"/>
      <c r="L44" s="257" t="str">
        <f t="shared" si="9"/>
        <v>Instances</v>
      </c>
      <c r="M44" s="460">
        <f t="shared" si="7"/>
        <v>0</v>
      </c>
      <c r="N44" s="460">
        <f t="shared" si="8"/>
        <v>0</v>
      </c>
      <c r="P44" s="225"/>
      <c r="U44" s="206"/>
      <c r="W44" s="206"/>
    </row>
    <row r="45" spans="2:23" s="197" customFormat="1" ht="25.5" customHeight="1">
      <c r="B45" s="524" t="s">
        <v>272</v>
      </c>
      <c r="C45" s="102">
        <v>16</v>
      </c>
      <c r="D45" s="102">
        <v>32</v>
      </c>
      <c r="E45" s="104">
        <v>500</v>
      </c>
      <c r="F45" s="252"/>
      <c r="G45" s="464">
        <f t="shared" si="5"/>
        <v>0.46569683333333334</v>
      </c>
      <c r="H45" s="464">
        <f t="shared" si="6"/>
        <v>335.30171999999999</v>
      </c>
      <c r="I45" s="223"/>
      <c r="J45" s="223"/>
      <c r="K45" s="223"/>
      <c r="L45" s="255" t="str">
        <f t="shared" si="9"/>
        <v>Instances</v>
      </c>
      <c r="M45" s="459">
        <f t="shared" si="7"/>
        <v>0</v>
      </c>
      <c r="N45" s="459">
        <f t="shared" si="8"/>
        <v>0</v>
      </c>
      <c r="P45" s="225"/>
      <c r="U45" s="206"/>
      <c r="W45" s="206"/>
    </row>
    <row r="46" spans="2:23" s="197" customFormat="1" ht="25.5" customHeight="1">
      <c r="B46" s="525" t="s">
        <v>286</v>
      </c>
      <c r="C46" s="103">
        <v>16</v>
      </c>
      <c r="D46" s="103">
        <v>32</v>
      </c>
      <c r="E46" s="123">
        <v>1000</v>
      </c>
      <c r="F46" s="256"/>
      <c r="G46" s="463">
        <f t="shared" si="5"/>
        <v>0.53147322222222226</v>
      </c>
      <c r="H46" s="463">
        <f t="shared" si="6"/>
        <v>382.66072000000003</v>
      </c>
      <c r="I46" s="223"/>
      <c r="J46" s="223"/>
      <c r="K46" s="223"/>
      <c r="L46" s="257" t="str">
        <f t="shared" si="9"/>
        <v>Instances</v>
      </c>
      <c r="M46" s="460">
        <f t="shared" si="7"/>
        <v>0</v>
      </c>
      <c r="N46" s="460">
        <f t="shared" si="8"/>
        <v>0</v>
      </c>
      <c r="P46" s="225"/>
      <c r="U46" s="206"/>
      <c r="W46" s="206"/>
    </row>
    <row r="47" spans="2:23" s="197" customFormat="1" ht="25.5" customHeight="1">
      <c r="B47" s="524" t="s">
        <v>273</v>
      </c>
      <c r="C47" s="102">
        <v>32</v>
      </c>
      <c r="D47" s="102">
        <v>64</v>
      </c>
      <c r="E47" s="104">
        <v>250</v>
      </c>
      <c r="F47" s="252"/>
      <c r="G47" s="464">
        <f t="shared" si="5"/>
        <v>0.83272908333333329</v>
      </c>
      <c r="H47" s="464">
        <f t="shared" si="6"/>
        <v>599.56493999999998</v>
      </c>
      <c r="I47" s="223"/>
      <c r="J47" s="223"/>
      <c r="K47" s="223"/>
      <c r="L47" s="255" t="str">
        <f t="shared" si="9"/>
        <v>Instances</v>
      </c>
      <c r="M47" s="459">
        <f t="shared" si="7"/>
        <v>0</v>
      </c>
      <c r="N47" s="459">
        <f t="shared" si="8"/>
        <v>0</v>
      </c>
      <c r="P47" s="225"/>
      <c r="U47" s="206"/>
      <c r="W47" s="206"/>
    </row>
    <row r="48" spans="2:23" s="197" customFormat="1" ht="25.5" customHeight="1">
      <c r="B48" s="525" t="s">
        <v>274</v>
      </c>
      <c r="C48" s="103">
        <v>32</v>
      </c>
      <c r="D48" s="103">
        <v>64</v>
      </c>
      <c r="E48" s="123">
        <v>500</v>
      </c>
      <c r="F48" s="256"/>
      <c r="G48" s="463">
        <f t="shared" si="5"/>
        <v>0.86561727777777786</v>
      </c>
      <c r="H48" s="463">
        <f t="shared" si="6"/>
        <v>623.24444000000005</v>
      </c>
      <c r="I48" s="223"/>
      <c r="J48" s="223"/>
      <c r="K48" s="223"/>
      <c r="L48" s="257" t="str">
        <f t="shared" si="9"/>
        <v>Instances</v>
      </c>
      <c r="M48" s="460">
        <f t="shared" si="7"/>
        <v>0</v>
      </c>
      <c r="N48" s="460">
        <f t="shared" si="8"/>
        <v>0</v>
      </c>
      <c r="P48" s="225"/>
      <c r="U48" s="206"/>
      <c r="W48" s="206"/>
    </row>
    <row r="49" spans="2:24" s="197" customFormat="1" ht="25.5" customHeight="1">
      <c r="B49" s="524" t="s">
        <v>275</v>
      </c>
      <c r="C49" s="102">
        <v>32</v>
      </c>
      <c r="D49" s="102">
        <v>64</v>
      </c>
      <c r="E49" s="104">
        <v>1000</v>
      </c>
      <c r="F49" s="252"/>
      <c r="G49" s="464">
        <f t="shared" si="5"/>
        <v>0.93139366666666668</v>
      </c>
      <c r="H49" s="464">
        <f t="shared" si="6"/>
        <v>670.60343999999998</v>
      </c>
      <c r="I49" s="223"/>
      <c r="J49" s="223"/>
      <c r="K49" s="223"/>
      <c r="L49" s="255" t="str">
        <f t="shared" si="9"/>
        <v>Instances</v>
      </c>
      <c r="M49" s="459">
        <f t="shared" si="7"/>
        <v>0</v>
      </c>
      <c r="N49" s="459">
        <f t="shared" si="8"/>
        <v>0</v>
      </c>
      <c r="P49" s="225"/>
      <c r="U49" s="206"/>
      <c r="W49" s="206"/>
    </row>
    <row r="50" spans="2:24" s="197" customFormat="1" ht="25.5" customHeight="1">
      <c r="B50" s="525" t="s">
        <v>276</v>
      </c>
      <c r="C50" s="103">
        <v>4</v>
      </c>
      <c r="D50" s="103">
        <v>16</v>
      </c>
      <c r="E50" s="123">
        <v>250</v>
      </c>
      <c r="F50" s="256"/>
      <c r="G50" s="463">
        <f t="shared" si="5"/>
        <v>0.19075152777777776</v>
      </c>
      <c r="H50" s="463">
        <f t="shared" si="6"/>
        <v>137.34109999999998</v>
      </c>
      <c r="I50" s="223"/>
      <c r="J50" s="223"/>
      <c r="K50" s="223"/>
      <c r="L50" s="257" t="str">
        <f t="shared" si="9"/>
        <v>Instances</v>
      </c>
      <c r="M50" s="460">
        <f t="shared" si="7"/>
        <v>0</v>
      </c>
      <c r="N50" s="460">
        <f t="shared" si="8"/>
        <v>0</v>
      </c>
      <c r="P50" s="225"/>
      <c r="U50" s="206"/>
      <c r="W50" s="206"/>
    </row>
    <row r="51" spans="2:24" s="197" customFormat="1" ht="25.5" customHeight="1">
      <c r="B51" s="524" t="s">
        <v>277</v>
      </c>
      <c r="C51" s="102">
        <v>8</v>
      </c>
      <c r="D51" s="102">
        <v>32</v>
      </c>
      <c r="E51" s="104">
        <v>250</v>
      </c>
      <c r="F51" s="252"/>
      <c r="G51" s="464">
        <f t="shared" si="5"/>
        <v>0.34861486111111106</v>
      </c>
      <c r="H51" s="464">
        <f t="shared" si="6"/>
        <v>251.00269999999998</v>
      </c>
      <c r="I51" s="223"/>
      <c r="J51" s="223"/>
      <c r="K51" s="223"/>
      <c r="L51" s="255" t="str">
        <f t="shared" si="9"/>
        <v>Instances</v>
      </c>
      <c r="M51" s="459">
        <f t="shared" si="7"/>
        <v>0</v>
      </c>
      <c r="N51" s="459">
        <f t="shared" si="8"/>
        <v>0</v>
      </c>
      <c r="P51" s="225"/>
      <c r="U51" s="206"/>
      <c r="W51" s="206"/>
    </row>
    <row r="52" spans="2:24" s="197" customFormat="1" ht="25.5" customHeight="1">
      <c r="B52" s="525" t="s">
        <v>278</v>
      </c>
      <c r="C52" s="103">
        <v>8</v>
      </c>
      <c r="D52" s="103">
        <v>32</v>
      </c>
      <c r="E52" s="123">
        <v>500</v>
      </c>
      <c r="F52" s="256"/>
      <c r="G52" s="463">
        <f t="shared" si="5"/>
        <v>0.38150305555555553</v>
      </c>
      <c r="H52" s="463">
        <f t="shared" si="6"/>
        <v>274.68219999999997</v>
      </c>
      <c r="I52" s="223"/>
      <c r="J52" s="223"/>
      <c r="K52" s="223"/>
      <c r="L52" s="257" t="str">
        <f t="shared" si="9"/>
        <v>Instances</v>
      </c>
      <c r="M52" s="460">
        <f t="shared" si="7"/>
        <v>0</v>
      </c>
      <c r="N52" s="460">
        <f t="shared" si="8"/>
        <v>0</v>
      </c>
      <c r="P52" s="225"/>
      <c r="U52" s="206"/>
      <c r="W52" s="206"/>
    </row>
    <row r="53" spans="2:24" s="197" customFormat="1" ht="25.5" customHeight="1">
      <c r="B53" s="524" t="s">
        <v>279</v>
      </c>
      <c r="C53" s="102">
        <v>8</v>
      </c>
      <c r="D53" s="102">
        <v>32</v>
      </c>
      <c r="E53" s="104">
        <v>1000</v>
      </c>
      <c r="F53" s="252"/>
      <c r="G53" s="464">
        <f t="shared" si="5"/>
        <v>0.44727944444444445</v>
      </c>
      <c r="H53" s="464">
        <f t="shared" si="6"/>
        <v>322.0412</v>
      </c>
      <c r="I53" s="223"/>
      <c r="J53" s="223"/>
      <c r="K53" s="223"/>
      <c r="L53" s="255" t="str">
        <f t="shared" si="9"/>
        <v>Instances</v>
      </c>
      <c r="M53" s="459">
        <f t="shared" si="7"/>
        <v>0</v>
      </c>
      <c r="N53" s="459">
        <f t="shared" si="8"/>
        <v>0</v>
      </c>
      <c r="P53" s="225"/>
      <c r="U53" s="206"/>
      <c r="W53" s="206"/>
    </row>
    <row r="54" spans="2:24" s="197" customFormat="1" ht="25.5" customHeight="1">
      <c r="B54" s="525" t="s">
        <v>280</v>
      </c>
      <c r="C54" s="103">
        <v>16</v>
      </c>
      <c r="D54" s="103">
        <v>64</v>
      </c>
      <c r="E54" s="123">
        <v>250</v>
      </c>
      <c r="F54" s="256"/>
      <c r="G54" s="463">
        <f t="shared" si="5"/>
        <v>0.66434152777777777</v>
      </c>
      <c r="H54" s="463">
        <f t="shared" si="6"/>
        <v>478.32589999999999</v>
      </c>
      <c r="I54" s="223"/>
      <c r="J54" s="223"/>
      <c r="K54" s="223"/>
      <c r="L54" s="257" t="str">
        <f t="shared" si="9"/>
        <v>Instances</v>
      </c>
      <c r="M54" s="460">
        <f t="shared" si="7"/>
        <v>0</v>
      </c>
      <c r="N54" s="460">
        <f t="shared" si="8"/>
        <v>0</v>
      </c>
      <c r="P54" s="225"/>
      <c r="U54" s="206"/>
      <c r="W54" s="206"/>
    </row>
    <row r="55" spans="2:24" s="197" customFormat="1" ht="25.5" customHeight="1">
      <c r="B55" s="524" t="s">
        <v>281</v>
      </c>
      <c r="C55" s="102">
        <v>16</v>
      </c>
      <c r="D55" s="102">
        <v>64</v>
      </c>
      <c r="E55" s="104">
        <v>500</v>
      </c>
      <c r="F55" s="252"/>
      <c r="G55" s="464">
        <f t="shared" si="5"/>
        <v>0.69722972222222213</v>
      </c>
      <c r="H55" s="464">
        <f t="shared" si="6"/>
        <v>502.00539999999995</v>
      </c>
      <c r="I55" s="223"/>
      <c r="J55" s="223"/>
      <c r="K55" s="223"/>
      <c r="L55" s="255" t="str">
        <f t="shared" si="9"/>
        <v>Instances</v>
      </c>
      <c r="M55" s="459">
        <f t="shared" si="7"/>
        <v>0</v>
      </c>
      <c r="N55" s="459">
        <f t="shared" si="8"/>
        <v>0</v>
      </c>
      <c r="P55" s="225"/>
      <c r="U55" s="206"/>
      <c r="W55" s="206"/>
    </row>
    <row r="56" spans="2:24" s="197" customFormat="1" ht="25.5" customHeight="1">
      <c r="B56" s="525" t="s">
        <v>282</v>
      </c>
      <c r="C56" s="103">
        <v>16</v>
      </c>
      <c r="D56" s="103">
        <v>64</v>
      </c>
      <c r="E56" s="123">
        <v>1000</v>
      </c>
      <c r="F56" s="256"/>
      <c r="G56" s="463">
        <f t="shared" ref="G56:G57" si="10">H56/720</f>
        <v>0.76300611111111105</v>
      </c>
      <c r="H56" s="463">
        <f t="shared" ref="H56:H57" si="11">C56*IAAS_vcpu_EUR+D56*IAAS_ram_EUR+E56*IAAS_nvme_EUR</f>
        <v>549.36439999999993</v>
      </c>
      <c r="I56" s="223"/>
      <c r="J56" s="223"/>
      <c r="K56" s="223"/>
      <c r="L56" s="257" t="str">
        <f>L53</f>
        <v>Instances</v>
      </c>
      <c r="M56" s="460">
        <f t="shared" ref="M56:M57" si="12">ROUNDUP(I56*H56,2)</f>
        <v>0</v>
      </c>
      <c r="N56" s="460">
        <f t="shared" si="8"/>
        <v>0</v>
      </c>
      <c r="P56" s="225"/>
      <c r="U56" s="206"/>
      <c r="W56" s="206"/>
    </row>
    <row r="57" spans="2:24" s="197" customFormat="1" ht="25.5" customHeight="1">
      <c r="B57" s="524" t="s">
        <v>283</v>
      </c>
      <c r="C57" s="102">
        <v>32</v>
      </c>
      <c r="D57" s="102">
        <v>128</v>
      </c>
      <c r="E57" s="104">
        <v>250</v>
      </c>
      <c r="F57" s="252"/>
      <c r="G57" s="464">
        <f t="shared" si="10"/>
        <v>1.295794861111111</v>
      </c>
      <c r="H57" s="464">
        <f t="shared" si="11"/>
        <v>932.9722999999999</v>
      </c>
      <c r="I57" s="223"/>
      <c r="J57" s="223"/>
      <c r="K57" s="223"/>
      <c r="L57" s="255" t="str">
        <f t="shared" si="9"/>
        <v>Instances</v>
      </c>
      <c r="M57" s="459">
        <f t="shared" si="12"/>
        <v>0</v>
      </c>
      <c r="N57" s="459">
        <f t="shared" si="8"/>
        <v>0</v>
      </c>
      <c r="P57" s="225"/>
      <c r="U57" s="206"/>
      <c r="W57" s="206"/>
    </row>
    <row r="58" spans="2:24" s="197" customFormat="1" ht="25.5" customHeight="1">
      <c r="B58" s="525" t="s">
        <v>284</v>
      </c>
      <c r="C58" s="103">
        <v>32</v>
      </c>
      <c r="D58" s="103">
        <v>128</v>
      </c>
      <c r="E58" s="123">
        <v>500</v>
      </c>
      <c r="F58" s="256"/>
      <c r="G58" s="463">
        <f t="shared" si="5"/>
        <v>1.3286830555555555</v>
      </c>
      <c r="H58" s="463">
        <f t="shared" si="6"/>
        <v>956.65179999999998</v>
      </c>
      <c r="I58" s="223"/>
      <c r="J58" s="223"/>
      <c r="K58" s="223"/>
      <c r="L58" s="257" t="str">
        <f>L55</f>
        <v>Instances</v>
      </c>
      <c r="M58" s="460">
        <f t="shared" si="7"/>
        <v>0</v>
      </c>
      <c r="N58" s="460">
        <f t="shared" si="8"/>
        <v>0</v>
      </c>
      <c r="P58" s="225"/>
      <c r="U58" s="206"/>
      <c r="W58" s="206"/>
    </row>
    <row r="59" spans="2:24" s="197" customFormat="1" ht="25.5" customHeight="1">
      <c r="B59" s="524" t="s">
        <v>285</v>
      </c>
      <c r="C59" s="102">
        <v>32</v>
      </c>
      <c r="D59" s="102">
        <v>128</v>
      </c>
      <c r="E59" s="104">
        <v>1000</v>
      </c>
      <c r="F59" s="252"/>
      <c r="G59" s="464">
        <f t="shared" si="5"/>
        <v>1.3944594444444443</v>
      </c>
      <c r="H59" s="464">
        <f t="shared" si="6"/>
        <v>1004.0107999999999</v>
      </c>
      <c r="I59" s="223"/>
      <c r="J59" s="223"/>
      <c r="K59" s="223"/>
      <c r="L59" s="255" t="str">
        <f t="shared" si="9"/>
        <v>Instances</v>
      </c>
      <c r="M59" s="459">
        <f t="shared" si="7"/>
        <v>0</v>
      </c>
      <c r="N59" s="459">
        <f t="shared" si="8"/>
        <v>0</v>
      </c>
      <c r="P59" s="225"/>
      <c r="U59" s="206"/>
      <c r="W59" s="206"/>
    </row>
    <row r="60" spans="2:24" s="197" customFormat="1" ht="25.5" customHeight="1">
      <c r="B60" s="521" t="s">
        <v>226</v>
      </c>
      <c r="C60" s="91"/>
      <c r="D60" s="91"/>
      <c r="E60" s="91"/>
      <c r="F60" s="231"/>
      <c r="G60" s="232"/>
      <c r="H60" s="233"/>
      <c r="I60" s="167">
        <f>SUM(I41:I59)</f>
        <v>0</v>
      </c>
      <c r="J60" s="167">
        <f>SUM(J41:J59)</f>
        <v>0</v>
      </c>
      <c r="K60" s="167">
        <f>SUM(K41:K59)</f>
        <v>0</v>
      </c>
      <c r="L60" s="168"/>
      <c r="M60" s="461">
        <f>SUM(M41:M59)</f>
        <v>0</v>
      </c>
      <c r="N60" s="462">
        <f>SUM(N41:N59)</f>
        <v>0</v>
      </c>
      <c r="P60" s="225"/>
      <c r="U60" s="206"/>
      <c r="W60" s="206"/>
    </row>
    <row r="61" spans="2:24" ht="25.5" customHeight="1">
      <c r="B61" s="526"/>
      <c r="C61" s="19"/>
      <c r="D61" s="19"/>
      <c r="E61" s="19"/>
      <c r="F61" s="258"/>
      <c r="G61" s="259"/>
      <c r="H61" s="260"/>
      <c r="I61" s="260"/>
      <c r="J61" s="260"/>
      <c r="K61" s="260"/>
      <c r="L61" s="258"/>
      <c r="M61" s="261"/>
      <c r="N61" s="261"/>
      <c r="O61" s="208"/>
      <c r="P61" s="211"/>
      <c r="Q61" s="197"/>
      <c r="U61" s="206"/>
      <c r="V61" s="206"/>
      <c r="W61" s="234"/>
    </row>
    <row r="62" spans="2:24" ht="25.5" customHeight="1">
      <c r="B62" s="526"/>
      <c r="C62" s="19"/>
      <c r="D62" s="19"/>
      <c r="E62" s="19"/>
      <c r="F62" s="258"/>
      <c r="G62" s="259"/>
      <c r="H62" s="260"/>
      <c r="I62" s="260"/>
      <c r="J62" s="260"/>
      <c r="K62" s="260"/>
      <c r="L62" s="258"/>
      <c r="M62" s="261"/>
      <c r="N62" s="261"/>
      <c r="O62" s="208"/>
      <c r="P62" s="211"/>
      <c r="Q62" s="197"/>
      <c r="U62" s="206"/>
      <c r="V62" s="206"/>
      <c r="W62" s="234"/>
    </row>
    <row r="63" spans="2:24" ht="25.5" customHeight="1">
      <c r="B63" s="527" t="s">
        <v>229</v>
      </c>
      <c r="C63" s="450"/>
      <c r="D63" s="450"/>
      <c r="E63" s="450"/>
      <c r="F63" s="450"/>
      <c r="G63" s="450"/>
      <c r="H63" s="262"/>
      <c r="I63" s="263"/>
      <c r="J63" s="263"/>
      <c r="K63" s="263"/>
      <c r="L63" s="263"/>
      <c r="M63" s="264"/>
      <c r="N63" s="264"/>
      <c r="O63" s="208"/>
      <c r="P63" s="211"/>
      <c r="U63" s="206"/>
      <c r="V63" s="206"/>
      <c r="W63" s="234"/>
    </row>
    <row r="64" spans="2:24" s="267" customFormat="1" ht="52">
      <c r="B64" s="518" t="s">
        <v>220</v>
      </c>
      <c r="C64" s="13" t="s">
        <v>8</v>
      </c>
      <c r="D64" s="13" t="s">
        <v>9</v>
      </c>
      <c r="E64" s="14" t="s">
        <v>109</v>
      </c>
      <c r="F64" s="212" t="s">
        <v>69</v>
      </c>
      <c r="G64" s="213" t="s">
        <v>221</v>
      </c>
      <c r="H64" s="213" t="s">
        <v>222</v>
      </c>
      <c r="I64" s="214" t="s">
        <v>58</v>
      </c>
      <c r="J64" s="214" t="s">
        <v>223</v>
      </c>
      <c r="K64" s="214" t="s">
        <v>224</v>
      </c>
      <c r="L64" s="215"/>
      <c r="M64" s="213" t="s">
        <v>59</v>
      </c>
      <c r="N64" s="213" t="s">
        <v>225</v>
      </c>
      <c r="O64" s="265"/>
      <c r="P64" s="266"/>
      <c r="Q64" s="265"/>
      <c r="R64" s="265"/>
      <c r="V64" s="268"/>
      <c r="W64" s="268"/>
      <c r="X64" s="269"/>
    </row>
    <row r="65" spans="2:24" s="197" customFormat="1" ht="25.5" customHeight="1">
      <c r="B65" s="524" t="s">
        <v>61</v>
      </c>
      <c r="C65" s="102">
        <v>4</v>
      </c>
      <c r="D65" s="102">
        <v>16</v>
      </c>
      <c r="E65" s="107">
        <v>250</v>
      </c>
      <c r="F65" s="252">
        <v>1</v>
      </c>
      <c r="G65" s="464">
        <f t="shared" ref="G65:G68" si="13">H65/720</f>
        <v>0.91429180555555545</v>
      </c>
      <c r="H65" s="464">
        <f>C65*IAAS_vcpu_EUR+D65*IAAS_ram_EUR+E65*IAAS_nvme_EUR+F65*IAAS_gpu_EUR</f>
        <v>658.29009999999994</v>
      </c>
      <c r="I65" s="223"/>
      <c r="J65" s="223"/>
      <c r="K65" s="223"/>
      <c r="L65" s="255" t="str">
        <f>L55</f>
        <v>Instances</v>
      </c>
      <c r="M65" s="459">
        <f t="shared" ref="M65:M68" si="14">ROUNDUP(I65*H65,2)</f>
        <v>0</v>
      </c>
      <c r="N65" s="459">
        <f>J65*C65*SW_win.ser.201X_EUR+K65*C65*SW_ms.sql.ser_EUR</f>
        <v>0</v>
      </c>
      <c r="P65" s="225"/>
      <c r="U65" s="206"/>
      <c r="W65" s="206"/>
    </row>
    <row r="66" spans="2:24" s="197" customFormat="1" ht="25.5" customHeight="1">
      <c r="B66" s="523" t="s">
        <v>62</v>
      </c>
      <c r="C66" s="100">
        <v>8</v>
      </c>
      <c r="D66" s="100">
        <v>32</v>
      </c>
      <c r="E66" s="106">
        <v>500</v>
      </c>
      <c r="F66" s="248">
        <v>2</v>
      </c>
      <c r="G66" s="463">
        <f t="shared" si="13"/>
        <v>1.8285836111111109</v>
      </c>
      <c r="H66" s="463">
        <f>C66*IAAS_vcpu_EUR+D66*IAAS_ram_EUR+E66*IAAS_nvme_EUR+F66*IAAS_gpu_EUR</f>
        <v>1316.5801999999999</v>
      </c>
      <c r="I66" s="223"/>
      <c r="J66" s="223"/>
      <c r="K66" s="223"/>
      <c r="L66" s="251" t="str">
        <f t="shared" ref="L66:L68" si="15">L56</f>
        <v>Instances</v>
      </c>
      <c r="M66" s="460">
        <f t="shared" si="14"/>
        <v>0</v>
      </c>
      <c r="N66" s="460">
        <f>J66*C66*SW_win.ser.201X_EUR+K66*C66*SW_ms.sql.ser_EUR</f>
        <v>0</v>
      </c>
      <c r="P66" s="225"/>
      <c r="U66" s="206"/>
      <c r="W66" s="206"/>
    </row>
    <row r="67" spans="2:24" s="197" customFormat="1" ht="25.5" customHeight="1">
      <c r="B67" s="524" t="s">
        <v>63</v>
      </c>
      <c r="C67" s="102">
        <v>16</v>
      </c>
      <c r="D67" s="102">
        <v>64</v>
      </c>
      <c r="E67" s="107">
        <v>1000</v>
      </c>
      <c r="F67" s="252">
        <v>4</v>
      </c>
      <c r="G67" s="464">
        <f t="shared" si="13"/>
        <v>3.6571672222222218</v>
      </c>
      <c r="H67" s="464">
        <f>C67*IAAS_vcpu_EUR+D67*IAAS_ram_EUR+E67*IAAS_nvme_EUR+F67*IAAS_gpu_EUR</f>
        <v>2633.1603999999998</v>
      </c>
      <c r="I67" s="223"/>
      <c r="J67" s="223"/>
      <c r="K67" s="223"/>
      <c r="L67" s="255" t="str">
        <f t="shared" si="15"/>
        <v>Instances</v>
      </c>
      <c r="M67" s="459">
        <f t="shared" si="14"/>
        <v>0</v>
      </c>
      <c r="N67" s="459">
        <f>J67*C67*SW_win.ser.201X_EUR+K67*C67*SW_ms.sql.ser_EUR</f>
        <v>0</v>
      </c>
      <c r="P67" s="225"/>
      <c r="U67" s="206"/>
      <c r="W67" s="206"/>
    </row>
    <row r="68" spans="2:24" s="197" customFormat="1" ht="25.5" customHeight="1">
      <c r="B68" s="523" t="s">
        <v>64</v>
      </c>
      <c r="C68" s="100">
        <v>32</v>
      </c>
      <c r="D68" s="100">
        <v>128</v>
      </c>
      <c r="E68" s="106">
        <v>1000</v>
      </c>
      <c r="F68" s="248">
        <v>6</v>
      </c>
      <c r="G68" s="463">
        <f t="shared" si="13"/>
        <v>5.7357011111111103</v>
      </c>
      <c r="H68" s="463">
        <f>C68*IAAS_vcpu_EUR+D68*IAAS_ram_EUR+E68*IAAS_nvme_EUR+F68*IAAS_gpu_EUR</f>
        <v>4129.7047999999995</v>
      </c>
      <c r="I68" s="223"/>
      <c r="J68" s="223"/>
      <c r="K68" s="223"/>
      <c r="L68" s="251" t="str">
        <f t="shared" si="15"/>
        <v>Instances</v>
      </c>
      <c r="M68" s="460">
        <f t="shared" si="14"/>
        <v>0</v>
      </c>
      <c r="N68" s="460">
        <f>J68*C68*SW_win.ser.201X_EUR+K68*C68*SW_ms.sql.ser_EUR</f>
        <v>0</v>
      </c>
      <c r="P68" s="225"/>
      <c r="U68" s="206"/>
      <c r="W68" s="206"/>
    </row>
    <row r="69" spans="2:24" s="274" customFormat="1" ht="25.5" customHeight="1">
      <c r="B69" s="521" t="s">
        <v>226</v>
      </c>
      <c r="C69" s="91"/>
      <c r="D69" s="91"/>
      <c r="E69" s="91"/>
      <c r="F69" s="231"/>
      <c r="G69" s="232"/>
      <c r="H69" s="233"/>
      <c r="I69" s="167">
        <f>SUM(I65:I68)</f>
        <v>0</v>
      </c>
      <c r="J69" s="167">
        <f>SUM(J65:J68)</f>
        <v>0</v>
      </c>
      <c r="K69" s="167">
        <f>SUM(K65:K68)</f>
        <v>0</v>
      </c>
      <c r="L69" s="168"/>
      <c r="M69" s="461">
        <f>SUM(M65:M68)</f>
        <v>0</v>
      </c>
      <c r="N69" s="462">
        <f>SUM(N65:N68)</f>
        <v>0</v>
      </c>
      <c r="O69" s="51"/>
      <c r="P69" s="270"/>
      <c r="Q69" s="271"/>
      <c r="R69" s="271"/>
      <c r="S69" s="271"/>
      <c r="T69" s="271"/>
      <c r="U69" s="272"/>
      <c r="V69" s="271"/>
      <c r="W69" s="273"/>
    </row>
    <row r="70" spans="2:24" s="197" customFormat="1" ht="25.5" customHeight="1">
      <c r="B70" s="522"/>
      <c r="C70" s="22"/>
      <c r="D70" s="22"/>
      <c r="E70" s="21"/>
      <c r="F70" s="275"/>
      <c r="G70" s="275"/>
      <c r="H70" s="207"/>
      <c r="I70" s="207"/>
      <c r="J70" s="207"/>
      <c r="K70" s="276"/>
      <c r="L70" s="207"/>
      <c r="M70" s="277"/>
      <c r="N70" s="277"/>
      <c r="P70" s="225"/>
      <c r="U70" s="206"/>
      <c r="W70" s="206"/>
    </row>
    <row r="71" spans="2:24" s="197" customFormat="1" ht="25.5" customHeight="1">
      <c r="B71" s="522"/>
      <c r="C71" s="22"/>
      <c r="D71" s="22"/>
      <c r="E71" s="21"/>
      <c r="F71" s="275"/>
      <c r="G71" s="275"/>
      <c r="H71" s="207"/>
      <c r="I71" s="207"/>
      <c r="J71" s="207"/>
      <c r="K71" s="276"/>
      <c r="L71" s="207"/>
      <c r="M71" s="277"/>
      <c r="N71" s="277"/>
      <c r="P71" s="225"/>
      <c r="U71" s="206"/>
      <c r="W71" s="206"/>
    </row>
    <row r="72" spans="2:24" s="243" customFormat="1" ht="31">
      <c r="B72" s="479" t="s">
        <v>65</v>
      </c>
      <c r="C72" s="24"/>
      <c r="D72" s="24"/>
      <c r="E72" s="24"/>
      <c r="F72" s="278"/>
      <c r="G72" s="278"/>
      <c r="H72" s="207"/>
      <c r="I72" s="207"/>
      <c r="J72" s="207"/>
      <c r="K72" s="276"/>
      <c r="L72" s="207"/>
      <c r="M72" s="277"/>
      <c r="N72" s="277"/>
      <c r="P72" s="244"/>
      <c r="Q72" s="207"/>
      <c r="R72" s="207"/>
      <c r="S72" s="207"/>
      <c r="T72" s="207"/>
      <c r="U72" s="245"/>
      <c r="V72" s="207"/>
      <c r="W72" s="246"/>
    </row>
    <row r="73" spans="2:24" s="267" customFormat="1" ht="52">
      <c r="B73" s="518" t="s">
        <v>220</v>
      </c>
      <c r="C73" s="13" t="s">
        <v>8</v>
      </c>
      <c r="D73" s="13" t="s">
        <v>9</v>
      </c>
      <c r="E73" s="14" t="s">
        <v>109</v>
      </c>
      <c r="F73" s="212"/>
      <c r="G73" s="213" t="s">
        <v>221</v>
      </c>
      <c r="H73" s="213" t="s">
        <v>222</v>
      </c>
      <c r="I73" s="214" t="s">
        <v>58</v>
      </c>
      <c r="J73" s="214" t="s">
        <v>223</v>
      </c>
      <c r="K73" s="214" t="s">
        <v>224</v>
      </c>
      <c r="L73" s="215"/>
      <c r="M73" s="213" t="s">
        <v>59</v>
      </c>
      <c r="N73" s="213" t="s">
        <v>225</v>
      </c>
      <c r="O73" s="265"/>
      <c r="P73" s="266"/>
      <c r="Q73" s="265"/>
      <c r="R73" s="265"/>
      <c r="V73" s="268"/>
      <c r="W73" s="268"/>
      <c r="X73" s="269"/>
    </row>
    <row r="74" spans="2:24" s="197" customFormat="1" ht="25.5" customHeight="1">
      <c r="B74" s="146" t="s">
        <v>66</v>
      </c>
      <c r="C74" s="94">
        <v>16</v>
      </c>
      <c r="D74" s="94">
        <v>128</v>
      </c>
      <c r="E74" s="99">
        <v>3800</v>
      </c>
      <c r="F74" s="281"/>
      <c r="G74" s="464">
        <f t="shared" ref="G74:G76" si="16">H74/720</f>
        <v>0.89982099999999998</v>
      </c>
      <c r="H74" s="464">
        <f>INSTANCE_p1.2xlarge.16d_EUR</f>
        <v>647.87112000000002</v>
      </c>
      <c r="I74" s="223"/>
      <c r="J74" s="223"/>
      <c r="K74" s="223"/>
      <c r="L74" s="220" t="s">
        <v>18</v>
      </c>
      <c r="M74" s="459">
        <f t="shared" ref="M74:M76" si="17">ROUNDUP(I74*H74,2)</f>
        <v>0</v>
      </c>
      <c r="N74" s="459">
        <f>J74*C74*SW_win.ser.201X_EUR+K74*C74*SW_ms.sql.ser_EUR</f>
        <v>0</v>
      </c>
      <c r="O74" s="207"/>
      <c r="P74" s="225"/>
    </row>
    <row r="75" spans="2:24" s="197" customFormat="1" ht="25.5" customHeight="1">
      <c r="B75" s="528" t="s">
        <v>67</v>
      </c>
      <c r="C75" s="95">
        <v>32</v>
      </c>
      <c r="D75" s="95">
        <v>256</v>
      </c>
      <c r="E75" s="97">
        <v>3800</v>
      </c>
      <c r="F75" s="282"/>
      <c r="G75" s="463">
        <f t="shared" si="16"/>
        <v>1.799642</v>
      </c>
      <c r="H75" s="463">
        <f>INSTANCE_p1.4xlarge.16d_EUR</f>
        <v>1295.74224</v>
      </c>
      <c r="I75" s="223"/>
      <c r="J75" s="223"/>
      <c r="K75" s="223"/>
      <c r="L75" s="226" t="str">
        <f t="shared" ref="L75" si="18">L74</f>
        <v>Instanser</v>
      </c>
      <c r="M75" s="460">
        <f t="shared" si="17"/>
        <v>0</v>
      </c>
      <c r="N75" s="460">
        <f>J75*C75*SW_win.ser.201X_EUR+K75*C75*SW_ms.sql.ser_EUR</f>
        <v>0</v>
      </c>
      <c r="O75" s="207"/>
      <c r="P75" s="225"/>
      <c r="X75" s="206"/>
    </row>
    <row r="76" spans="2:24" s="271" customFormat="1" ht="25.5" customHeight="1">
      <c r="B76" s="529" t="s">
        <v>68</v>
      </c>
      <c r="C76" s="96">
        <v>64</v>
      </c>
      <c r="D76" s="96">
        <v>512</v>
      </c>
      <c r="E76" s="98">
        <v>7600</v>
      </c>
      <c r="F76" s="283"/>
      <c r="G76" s="465">
        <f t="shared" si="16"/>
        <v>3.5992839999999999</v>
      </c>
      <c r="H76" s="466">
        <f>INSTANCE_p1.8xlarge.32d_EUR</f>
        <v>2591.4844800000001</v>
      </c>
      <c r="I76" s="223"/>
      <c r="J76" s="223"/>
      <c r="K76" s="223"/>
      <c r="L76" s="220" t="s">
        <v>18</v>
      </c>
      <c r="M76" s="459">
        <f t="shared" si="17"/>
        <v>0</v>
      </c>
      <c r="N76" s="459">
        <f>J76*C76*SW_win.ser.201X_EUR+K76*C76*SW_ms.sql.ser_EUR</f>
        <v>0</v>
      </c>
      <c r="O76" s="286"/>
      <c r="P76" s="287"/>
    </row>
    <row r="77" spans="2:24" ht="25.5" customHeight="1">
      <c r="B77" s="521" t="s">
        <v>226</v>
      </c>
      <c r="C77" s="91"/>
      <c r="D77" s="91"/>
      <c r="E77" s="91"/>
      <c r="F77" s="231"/>
      <c r="G77" s="232"/>
      <c r="H77" s="233"/>
      <c r="I77" s="167">
        <f>SUM(I74:I76)</f>
        <v>0</v>
      </c>
      <c r="J77" s="167">
        <f>SUM(J74:J76)</f>
        <v>0</v>
      </c>
      <c r="K77" s="167">
        <f>SUM(K74:K76)</f>
        <v>0</v>
      </c>
      <c r="L77" s="168"/>
      <c r="M77" s="461">
        <f>SUM(M74:M76)</f>
        <v>0</v>
      </c>
      <c r="N77" s="462">
        <f>SUM(N74:N76)</f>
        <v>0</v>
      </c>
      <c r="O77" s="208"/>
      <c r="P77" s="211"/>
    </row>
    <row r="78" spans="2:24" ht="25.5" customHeight="1">
      <c r="B78" s="530"/>
      <c r="C78" s="80"/>
      <c r="D78" s="80"/>
      <c r="E78" s="80"/>
      <c r="F78" s="288"/>
      <c r="G78" s="288"/>
      <c r="H78" s="271"/>
      <c r="I78" s="289"/>
      <c r="J78" s="289"/>
      <c r="K78" s="289"/>
      <c r="L78" s="238"/>
      <c r="M78" s="50"/>
      <c r="N78" s="51"/>
      <c r="O78" s="208"/>
      <c r="P78" s="211"/>
    </row>
    <row r="79" spans="2:24" s="197" customFormat="1" ht="25.5" customHeight="1">
      <c r="B79" s="531"/>
      <c r="C79" s="22"/>
      <c r="D79" s="22"/>
      <c r="E79" s="22"/>
      <c r="F79" s="275"/>
      <c r="G79" s="275"/>
      <c r="H79" s="207"/>
      <c r="I79" s="207"/>
      <c r="J79" s="207"/>
      <c r="K79" s="276"/>
      <c r="L79" s="207"/>
      <c r="M79" s="277"/>
      <c r="N79" s="277"/>
      <c r="P79" s="225"/>
      <c r="U79" s="206"/>
      <c r="W79" s="206"/>
    </row>
    <row r="80" spans="2:24" ht="25.5" customHeight="1">
      <c r="B80" s="479" t="s">
        <v>230</v>
      </c>
      <c r="C80" s="24"/>
      <c r="D80" s="24"/>
      <c r="E80" s="24"/>
      <c r="F80" s="278"/>
      <c r="G80" s="278"/>
      <c r="H80" s="207"/>
      <c r="I80" s="207"/>
      <c r="J80" s="207"/>
      <c r="K80" s="276"/>
      <c r="L80" s="207"/>
      <c r="M80" s="277"/>
      <c r="N80" s="277"/>
      <c r="O80" s="208"/>
      <c r="P80" s="211"/>
      <c r="Q80" s="197"/>
      <c r="R80" s="197"/>
      <c r="S80" s="197"/>
      <c r="T80" s="197"/>
      <c r="U80" s="206"/>
      <c r="V80" s="197"/>
      <c r="W80" s="234"/>
    </row>
    <row r="81" spans="2:25" s="295" customFormat="1" ht="35.25" customHeight="1">
      <c r="B81" s="518" t="s">
        <v>220</v>
      </c>
      <c r="C81" s="26" t="s">
        <v>184</v>
      </c>
      <c r="D81" s="26"/>
      <c r="E81" s="144" t="s">
        <v>221</v>
      </c>
      <c r="F81" s="572" t="s">
        <v>231</v>
      </c>
      <c r="G81" s="572"/>
      <c r="H81" s="573"/>
      <c r="I81" s="573"/>
      <c r="J81" s="292" t="s">
        <v>24</v>
      </c>
      <c r="K81" s="290"/>
      <c r="L81" s="290"/>
      <c r="M81" s="290"/>
      <c r="N81" s="293"/>
      <c r="O81" s="219"/>
      <c r="P81" s="294"/>
      <c r="R81" s="219"/>
      <c r="S81" s="219"/>
      <c r="W81" s="296"/>
      <c r="X81" s="296"/>
      <c r="Y81" s="297"/>
    </row>
    <row r="82" spans="2:25" s="197" customFormat="1" ht="25.5" customHeight="1">
      <c r="B82" s="146" t="s">
        <v>181</v>
      </c>
      <c r="C82" s="41" t="s">
        <v>182</v>
      </c>
      <c r="D82" s="82"/>
      <c r="E82" s="467">
        <f>F82/720</f>
        <v>1.5786333333333332E-4</v>
      </c>
      <c r="F82" s="567">
        <f>VOLUME_large_EUR</f>
        <v>0.11366159999999999</v>
      </c>
      <c r="G82" s="567"/>
      <c r="H82" s="568"/>
      <c r="I82" s="568"/>
      <c r="J82" s="298"/>
      <c r="K82" s="299" t="s">
        <v>26</v>
      </c>
      <c r="L82" s="299"/>
      <c r="M82" s="300"/>
      <c r="N82" s="469">
        <f>ROUNDUP(J82*F82,2)</f>
        <v>0</v>
      </c>
      <c r="O82" s="207"/>
      <c r="P82" s="225"/>
    </row>
    <row r="83" spans="2:25" s="197" customFormat="1" ht="25.5" customHeight="1">
      <c r="B83" s="528" t="s">
        <v>180</v>
      </c>
      <c r="C83" s="43" t="s">
        <v>183</v>
      </c>
      <c r="D83" s="83"/>
      <c r="E83" s="468">
        <f>F83/720</f>
        <v>4.7358999999999997E-4</v>
      </c>
      <c r="F83" s="576">
        <f>VOLUME_fast_EUR</f>
        <v>0.34098479999999998</v>
      </c>
      <c r="G83" s="576"/>
      <c r="H83" s="577"/>
      <c r="I83" s="577"/>
      <c r="J83" s="302"/>
      <c r="K83" s="303" t="s">
        <v>26</v>
      </c>
      <c r="L83" s="303"/>
      <c r="M83" s="304"/>
      <c r="N83" s="470">
        <f>ROUNDUP(J83*F83,2)</f>
        <v>0</v>
      </c>
      <c r="O83" s="207"/>
      <c r="P83" s="225"/>
      <c r="Y83" s="206"/>
    </row>
    <row r="84" spans="2:25" ht="25.5" customHeight="1">
      <c r="B84" s="521" t="s">
        <v>226</v>
      </c>
      <c r="C84" s="91"/>
      <c r="D84" s="91"/>
      <c r="E84" s="91"/>
      <c r="F84" s="232"/>
      <c r="G84" s="233"/>
      <c r="H84" s="233"/>
      <c r="I84" s="306"/>
      <c r="J84" s="307" t="str">
        <f>SUM(J82:J83)&amp;" GB"</f>
        <v>0 GB</v>
      </c>
      <c r="K84" s="308"/>
      <c r="L84" s="233"/>
      <c r="M84" s="233"/>
      <c r="N84" s="462">
        <f>SUM(N82:N83)</f>
        <v>0</v>
      </c>
      <c r="O84" s="208"/>
      <c r="P84" s="211"/>
    </row>
    <row r="85" spans="2:25" ht="25.5" customHeight="1">
      <c r="B85" s="530"/>
      <c r="C85" s="80"/>
      <c r="D85" s="80"/>
      <c r="E85" s="80"/>
      <c r="F85" s="288"/>
      <c r="G85" s="288"/>
      <c r="H85" s="309"/>
      <c r="I85" s="309"/>
      <c r="J85" s="309"/>
      <c r="K85" s="310"/>
      <c r="L85" s="311"/>
      <c r="M85" s="312"/>
      <c r="N85" s="312"/>
      <c r="O85" s="208"/>
      <c r="P85" s="211"/>
    </row>
    <row r="86" spans="2:25" ht="25.5" customHeight="1">
      <c r="B86" s="79"/>
      <c r="C86" s="80"/>
      <c r="D86" s="80"/>
      <c r="E86" s="80"/>
      <c r="F86" s="288"/>
      <c r="G86" s="288"/>
      <c r="H86" s="309"/>
      <c r="I86" s="309"/>
      <c r="J86" s="309"/>
      <c r="K86" s="310"/>
      <c r="L86" s="311"/>
      <c r="M86" s="312"/>
      <c r="N86" s="312"/>
      <c r="O86" s="208"/>
      <c r="P86" s="211"/>
    </row>
    <row r="87" spans="2:25" s="192" customFormat="1" ht="25.5" customHeight="1">
      <c r="B87" s="79"/>
      <c r="C87" s="80"/>
      <c r="D87" s="80"/>
      <c r="E87" s="80"/>
      <c r="F87" s="288"/>
      <c r="G87" s="288"/>
      <c r="H87" s="309"/>
      <c r="I87" s="309"/>
      <c r="J87" s="309"/>
      <c r="K87" s="310"/>
      <c r="L87" s="311"/>
      <c r="M87" s="312"/>
      <c r="N87" s="312"/>
      <c r="P87" s="196"/>
    </row>
    <row r="88" spans="2:25" s="192" customFormat="1" ht="25.5" customHeight="1">
      <c r="B88" s="570" t="s">
        <v>27</v>
      </c>
      <c r="C88" s="570"/>
      <c r="D88" s="570"/>
      <c r="E88" s="570"/>
      <c r="F88" s="570"/>
      <c r="G88" s="570"/>
      <c r="H88" s="193"/>
      <c r="J88" s="194"/>
      <c r="K88" s="194"/>
      <c r="M88" s="195"/>
      <c r="N88" s="195"/>
      <c r="P88" s="196"/>
    </row>
    <row r="89" spans="2:25" s="192" customFormat="1" ht="25.5" customHeight="1">
      <c r="B89" s="570"/>
      <c r="C89" s="570"/>
      <c r="D89" s="570"/>
      <c r="E89" s="570"/>
      <c r="F89" s="570"/>
      <c r="G89" s="570"/>
      <c r="H89" s="193"/>
      <c r="J89" s="194"/>
      <c r="K89" s="194"/>
      <c r="M89" s="195"/>
      <c r="N89" s="195"/>
      <c r="P89" s="196"/>
    </row>
    <row r="90" spans="2:25" s="192" customFormat="1" ht="25.5" customHeight="1">
      <c r="B90" s="570"/>
      <c r="C90" s="570"/>
      <c r="D90" s="570"/>
      <c r="E90" s="570"/>
      <c r="F90" s="570"/>
      <c r="G90" s="570"/>
      <c r="H90" s="193"/>
      <c r="J90" s="194"/>
      <c r="K90" s="194"/>
      <c r="M90" s="195"/>
      <c r="N90" s="195"/>
      <c r="P90" s="196"/>
    </row>
    <row r="91" spans="2:25" s="192" customFormat="1" ht="25.5" customHeight="1">
      <c r="B91" s="578" t="s">
        <v>232</v>
      </c>
      <c r="C91" s="578"/>
      <c r="D91" s="578"/>
      <c r="E91" s="578"/>
      <c r="F91" s="578"/>
      <c r="H91" s="193"/>
      <c r="J91" s="194"/>
      <c r="K91" s="194"/>
      <c r="M91" s="195"/>
      <c r="N91" s="195"/>
      <c r="O91" s="199"/>
      <c r="P91" s="204"/>
    </row>
    <row r="92" spans="2:25" s="319" customFormat="1" ht="25.5" customHeight="1">
      <c r="B92" s="579" t="s">
        <v>299</v>
      </c>
      <c r="C92" s="579"/>
      <c r="D92" s="579"/>
      <c r="E92" s="579"/>
      <c r="F92" s="579"/>
      <c r="G92" s="313"/>
      <c r="H92" s="314"/>
      <c r="I92" s="313"/>
      <c r="J92" s="315"/>
      <c r="K92" s="316"/>
      <c r="L92" s="313"/>
      <c r="M92" s="317"/>
      <c r="N92" s="317"/>
      <c r="O92" s="313"/>
      <c r="P92" s="318"/>
    </row>
    <row r="93" spans="2:25" s="192" customFormat="1" ht="25.5" customHeight="1">
      <c r="B93" s="8" t="s">
        <v>219</v>
      </c>
      <c r="C93" s="78"/>
      <c r="D93" s="78"/>
      <c r="E93" s="78"/>
      <c r="F93" s="205"/>
      <c r="G93" s="199"/>
      <c r="H93" s="200"/>
      <c r="I93" s="199"/>
      <c r="J93" s="201"/>
      <c r="K93" s="202"/>
      <c r="L93" s="202"/>
      <c r="M93" s="199"/>
      <c r="N93" s="203"/>
      <c r="O93" s="203"/>
      <c r="P93" s="225"/>
      <c r="R93" s="197"/>
      <c r="S93" s="197"/>
    </row>
    <row r="94" spans="2:25" s="192" customFormat="1" ht="25.5" customHeight="1">
      <c r="B94" s="6"/>
      <c r="C94" s="6"/>
      <c r="D94" s="6"/>
      <c r="E94" s="6"/>
      <c r="F94" s="205"/>
      <c r="G94" s="199"/>
      <c r="H94" s="200"/>
      <c r="I94" s="199"/>
      <c r="J94" s="201"/>
      <c r="K94" s="202"/>
      <c r="L94" s="202"/>
      <c r="M94" s="199"/>
      <c r="N94" s="203"/>
      <c r="O94" s="203"/>
      <c r="P94" s="225"/>
      <c r="R94" s="197"/>
      <c r="S94" s="197"/>
    </row>
    <row r="95" spans="2:25" s="192" customFormat="1" ht="25.5" customHeight="1">
      <c r="B95" s="518" t="s">
        <v>220</v>
      </c>
      <c r="C95" s="12" t="s">
        <v>233</v>
      </c>
      <c r="D95" s="572" t="s">
        <v>234</v>
      </c>
      <c r="E95" s="572"/>
      <c r="F95" s="572"/>
      <c r="G95" s="572"/>
      <c r="H95" s="572"/>
      <c r="I95" s="572"/>
      <c r="J95" s="572"/>
      <c r="K95" s="572"/>
      <c r="L95" s="293"/>
      <c r="M95" s="290"/>
      <c r="N95" s="290"/>
      <c r="O95" s="203"/>
      <c r="P95" s="225"/>
      <c r="R95" s="197"/>
      <c r="S95" s="197"/>
    </row>
    <row r="96" spans="2:25" s="192" customFormat="1" ht="25.5" customHeight="1">
      <c r="B96" s="519" t="s">
        <v>75</v>
      </c>
      <c r="C96" s="46" t="s">
        <v>97</v>
      </c>
      <c r="D96" s="574">
        <f>S3_storage.50_EUR</f>
        <v>33.151299999999999</v>
      </c>
      <c r="E96" s="574"/>
      <c r="F96" s="575"/>
      <c r="G96" s="575"/>
      <c r="H96" s="575"/>
      <c r="I96" s="575"/>
      <c r="J96" s="575"/>
      <c r="K96" s="575"/>
      <c r="L96" s="320"/>
      <c r="M96" s="321"/>
      <c r="N96" s="321"/>
      <c r="O96" s="203"/>
      <c r="P96" s="225"/>
      <c r="R96" s="197"/>
      <c r="S96" s="197"/>
    </row>
    <row r="97" spans="2:24" s="192" customFormat="1" ht="25.5" customHeight="1">
      <c r="B97" s="520" t="s">
        <v>75</v>
      </c>
      <c r="C97" s="48" t="s">
        <v>117</v>
      </c>
      <c r="D97" s="582">
        <f>S3_storage.100_EUR</f>
        <v>25.57386</v>
      </c>
      <c r="E97" s="582"/>
      <c r="F97" s="583"/>
      <c r="G97" s="583"/>
      <c r="H97" s="583"/>
      <c r="I97" s="583"/>
      <c r="J97" s="583"/>
      <c r="K97" s="583"/>
      <c r="L97" s="322"/>
      <c r="M97" s="323"/>
      <c r="N97" s="323"/>
      <c r="O97" s="203"/>
      <c r="P97" s="225"/>
      <c r="R97" s="197"/>
      <c r="S97" s="197"/>
    </row>
    <row r="98" spans="2:24" s="192" customFormat="1" ht="25.5" customHeight="1">
      <c r="B98" s="519" t="s">
        <v>75</v>
      </c>
      <c r="C98" s="46" t="s">
        <v>118</v>
      </c>
      <c r="D98" s="580">
        <f>S3_storage.500_EUR</f>
        <v>18.9436</v>
      </c>
      <c r="E98" s="580"/>
      <c r="F98" s="581"/>
      <c r="G98" s="581"/>
      <c r="H98" s="581"/>
      <c r="I98" s="581"/>
      <c r="J98" s="581"/>
      <c r="K98" s="581"/>
      <c r="L98" s="324"/>
      <c r="M98" s="325"/>
      <c r="N98" s="325"/>
      <c r="O98" s="203"/>
      <c r="P98" s="225"/>
      <c r="R98" s="197"/>
      <c r="S98" s="197"/>
    </row>
    <row r="99" spans="2:24" s="192" customFormat="1" ht="25.5" customHeight="1">
      <c r="B99" s="520" t="s">
        <v>75</v>
      </c>
      <c r="C99" s="48" t="s">
        <v>119</v>
      </c>
      <c r="D99" s="582">
        <f>S3_storage.1000_EUR</f>
        <v>17.522829999999999</v>
      </c>
      <c r="E99" s="582"/>
      <c r="F99" s="583"/>
      <c r="G99" s="583"/>
      <c r="H99" s="583"/>
      <c r="I99" s="583"/>
      <c r="J99" s="583"/>
      <c r="K99" s="583"/>
      <c r="L99" s="322"/>
      <c r="M99" s="323"/>
      <c r="N99" s="323"/>
      <c r="O99" s="203"/>
      <c r="P99" s="225"/>
      <c r="R99" s="197"/>
      <c r="S99" s="197"/>
    </row>
    <row r="100" spans="2:24" s="192" customFormat="1" ht="25.5" customHeight="1">
      <c r="B100" s="519" t="s">
        <v>75</v>
      </c>
      <c r="C100" s="46" t="s">
        <v>120</v>
      </c>
      <c r="D100" s="584" t="str">
        <f>S3_storage.quote_EUR</f>
        <v>Ask for quote</v>
      </c>
      <c r="E100" s="584"/>
      <c r="F100" s="584"/>
      <c r="G100" s="584"/>
      <c r="H100" s="584"/>
      <c r="I100" s="584"/>
      <c r="J100" s="584"/>
      <c r="K100" s="584"/>
      <c r="L100" s="326"/>
      <c r="M100" s="327"/>
      <c r="N100" s="327"/>
      <c r="O100" s="203"/>
      <c r="P100" s="225"/>
      <c r="R100" s="197"/>
      <c r="S100" s="197"/>
    </row>
    <row r="101" spans="2:24" s="192" customFormat="1" ht="25.5" customHeight="1">
      <c r="B101" s="546"/>
      <c r="C101" s="108"/>
      <c r="D101" s="108"/>
      <c r="E101" s="108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25"/>
      <c r="R101" s="197"/>
      <c r="S101" s="197"/>
    </row>
    <row r="102" spans="2:24" s="267" customFormat="1" ht="25.5" customHeight="1">
      <c r="B102" s="547"/>
      <c r="C102" s="145"/>
      <c r="D102" s="145"/>
      <c r="E102" s="145"/>
      <c r="F102" s="205"/>
      <c r="G102" s="199"/>
      <c r="H102" s="200"/>
      <c r="I102" s="199"/>
      <c r="J102" s="201"/>
      <c r="K102" s="202"/>
      <c r="L102" s="202"/>
      <c r="M102" s="199"/>
      <c r="N102" s="203"/>
      <c r="O102" s="203"/>
      <c r="P102" s="328"/>
      <c r="R102" s="295"/>
      <c r="S102" s="295"/>
      <c r="T102" s="295"/>
      <c r="U102" s="295"/>
      <c r="V102" s="295"/>
      <c r="W102" s="295"/>
      <c r="X102" s="295"/>
    </row>
    <row r="103" spans="2:24" ht="25.5" customHeight="1">
      <c r="B103" s="518" t="s">
        <v>220</v>
      </c>
      <c r="C103" s="26"/>
      <c r="D103" s="26"/>
      <c r="E103" s="143" t="s">
        <v>221</v>
      </c>
      <c r="F103" s="572" t="s">
        <v>235</v>
      </c>
      <c r="G103" s="572"/>
      <c r="H103" s="292" t="s">
        <v>233</v>
      </c>
      <c r="I103" s="290"/>
      <c r="J103" s="290"/>
      <c r="K103" s="290"/>
      <c r="L103" s="290"/>
      <c r="M103" s="290"/>
      <c r="N103" s="293" t="s">
        <v>31</v>
      </c>
      <c r="O103" s="329"/>
      <c r="P103" s="225"/>
      <c r="R103" s="197"/>
      <c r="S103" s="197"/>
    </row>
    <row r="104" spans="2:24" s="274" customFormat="1" ht="25.5" customHeight="1">
      <c r="B104" s="548" t="s">
        <v>75</v>
      </c>
      <c r="C104" s="86"/>
      <c r="D104" s="86"/>
      <c r="E104" s="508" cm="1">
        <f t="array" ref="E104">_xlfn.IFS(H104&lt;1001,F104/720,H104&gt;1000,D100)</f>
        <v>4.6043472222222222E-2</v>
      </c>
      <c r="F104" s="585" cm="1">
        <f t="array" ref="F104">_xlfn.IFS(H104&lt;51,D96,H104&lt;101,D97,H104&lt;501,D98,H104&lt;1001,D99,H104&gt;1000,D100)</f>
        <v>33.151299999999999</v>
      </c>
      <c r="G104" s="586"/>
      <c r="H104" s="330">
        <v>0</v>
      </c>
      <c r="I104" s="331" t="s">
        <v>73</v>
      </c>
      <c r="J104" s="332"/>
      <c r="K104" s="332"/>
      <c r="L104" s="332"/>
      <c r="M104" s="333"/>
      <c r="N104" s="472" cm="1">
        <f t="array" ref="N104">_xlfn.IFS(H104&lt;1001,ROUNDUP(H104*F104,2),H104&gt;1000,D100)</f>
        <v>0</v>
      </c>
      <c r="O104" s="329"/>
      <c r="P104" s="287"/>
      <c r="R104" s="271"/>
      <c r="S104" s="271"/>
    </row>
    <row r="105" spans="2:24" ht="25.5" customHeight="1">
      <c r="B105" s="20" t="s">
        <v>20</v>
      </c>
      <c r="C105" s="21"/>
      <c r="D105" s="21"/>
      <c r="E105" s="21"/>
      <c r="F105" s="236"/>
      <c r="G105" s="237"/>
      <c r="H105" s="237"/>
      <c r="I105" s="237"/>
      <c r="J105" s="237"/>
      <c r="K105" s="335"/>
      <c r="L105" s="335"/>
      <c r="M105" s="173"/>
      <c r="N105" s="462">
        <f>SUM(N104)</f>
        <v>0</v>
      </c>
      <c r="O105" s="329"/>
      <c r="P105" s="225"/>
      <c r="R105" s="197"/>
      <c r="S105" s="197"/>
    </row>
    <row r="106" spans="2:24" ht="25.5" customHeight="1">
      <c r="B106" s="28"/>
      <c r="C106" s="28"/>
      <c r="D106" s="28"/>
      <c r="E106" s="28"/>
      <c r="F106" s="337"/>
      <c r="G106" s="338"/>
      <c r="H106" s="309"/>
      <c r="I106" s="309"/>
      <c r="J106" s="309"/>
      <c r="K106" s="339"/>
      <c r="L106" s="339"/>
      <c r="M106" s="312"/>
      <c r="N106" s="312"/>
      <c r="O106" s="329"/>
      <c r="P106" s="225"/>
      <c r="R106" s="197"/>
      <c r="S106" s="197"/>
    </row>
    <row r="107" spans="2:24" ht="25.5" customHeight="1">
      <c r="B107" s="28"/>
      <c r="C107" s="28"/>
      <c r="D107" s="28"/>
      <c r="E107" s="28"/>
      <c r="F107" s="337"/>
      <c r="G107" s="338"/>
      <c r="H107" s="309"/>
      <c r="I107" s="309"/>
      <c r="J107" s="309"/>
      <c r="K107" s="339"/>
      <c r="L107" s="339"/>
      <c r="M107" s="312"/>
      <c r="N107" s="312"/>
      <c r="O107" s="312"/>
      <c r="P107" s="225"/>
      <c r="R107" s="197"/>
      <c r="S107" s="197"/>
      <c r="V107" s="192"/>
    </row>
    <row r="108" spans="2:24" s="192" customFormat="1" ht="25.5" customHeight="1">
      <c r="B108" s="28"/>
      <c r="C108" s="28"/>
      <c r="D108" s="28"/>
      <c r="E108" s="28"/>
      <c r="F108" s="337"/>
      <c r="G108" s="338"/>
      <c r="H108" s="309"/>
      <c r="I108" s="309"/>
      <c r="J108" s="309"/>
      <c r="K108" s="339"/>
      <c r="L108" s="339"/>
      <c r="M108" s="312"/>
      <c r="N108" s="312"/>
      <c r="O108" s="312"/>
      <c r="P108" s="196"/>
    </row>
    <row r="109" spans="2:24" s="192" customFormat="1" ht="25.5" customHeight="1">
      <c r="B109" s="570" t="s">
        <v>32</v>
      </c>
      <c r="C109" s="570"/>
      <c r="D109" s="570"/>
      <c r="E109" s="570"/>
      <c r="F109" s="570"/>
      <c r="G109" s="570"/>
      <c r="H109" s="193"/>
      <c r="J109" s="194"/>
      <c r="K109" s="194"/>
      <c r="L109" s="194"/>
      <c r="N109" s="195"/>
      <c r="O109" s="195"/>
      <c r="P109" s="196"/>
    </row>
    <row r="110" spans="2:24" s="192" customFormat="1" ht="25.5" customHeight="1">
      <c r="B110" s="570"/>
      <c r="C110" s="570"/>
      <c r="D110" s="570"/>
      <c r="E110" s="570"/>
      <c r="F110" s="570"/>
      <c r="G110" s="570"/>
      <c r="H110" s="193"/>
      <c r="J110" s="194"/>
      <c r="K110" s="194"/>
      <c r="L110" s="194"/>
      <c r="N110" s="195"/>
      <c r="O110" s="195"/>
      <c r="P110" s="196"/>
    </row>
    <row r="111" spans="2:24" s="192" customFormat="1" ht="25.5" customHeight="1">
      <c r="B111" s="570"/>
      <c r="C111" s="570"/>
      <c r="D111" s="570"/>
      <c r="E111" s="570"/>
      <c r="F111" s="570"/>
      <c r="G111" s="570"/>
      <c r="H111" s="193"/>
      <c r="J111" s="194"/>
      <c r="K111" s="194"/>
      <c r="L111" s="194"/>
      <c r="N111" s="195"/>
      <c r="O111" s="195"/>
      <c r="P111" s="196"/>
    </row>
    <row r="112" spans="2:24" s="192" customFormat="1" ht="25.5" customHeight="1">
      <c r="B112" s="587" t="s">
        <v>300</v>
      </c>
      <c r="C112" s="587"/>
      <c r="D112" s="587"/>
      <c r="E112" s="587"/>
      <c r="F112" s="587"/>
      <c r="H112" s="193"/>
      <c r="J112" s="194"/>
      <c r="K112" s="194"/>
      <c r="L112" s="194"/>
      <c r="N112" s="195"/>
      <c r="O112" s="195"/>
      <c r="P112" s="204"/>
    </row>
    <row r="113" spans="1:35" s="192" customFormat="1" ht="25.5" customHeight="1">
      <c r="B113" s="571" t="s">
        <v>218</v>
      </c>
      <c r="C113" s="571"/>
      <c r="D113" s="571"/>
      <c r="E113" s="571"/>
      <c r="F113" s="571"/>
      <c r="G113" s="199"/>
      <c r="H113" s="200"/>
      <c r="I113" s="199"/>
      <c r="J113" s="201"/>
      <c r="K113" s="202"/>
      <c r="L113" s="202"/>
      <c r="M113" s="199"/>
      <c r="N113" s="203"/>
      <c r="O113" s="203"/>
      <c r="P113" s="204"/>
    </row>
    <row r="114" spans="1:35" s="207" customFormat="1" ht="25.5" customHeight="1">
      <c r="B114" s="8" t="s">
        <v>219</v>
      </c>
      <c r="C114" s="78"/>
      <c r="D114" s="78"/>
      <c r="E114" s="78"/>
      <c r="F114" s="205"/>
      <c r="G114" s="199"/>
      <c r="H114" s="200"/>
      <c r="I114" s="199"/>
      <c r="J114" s="201"/>
      <c r="K114" s="202"/>
      <c r="L114" s="202"/>
      <c r="M114" s="192"/>
      <c r="N114" s="203"/>
      <c r="O114" s="203"/>
      <c r="P114" s="225"/>
      <c r="R114" s="197"/>
      <c r="S114" s="197"/>
      <c r="T114" s="197"/>
      <c r="U114" s="197"/>
      <c r="V114" s="197"/>
      <c r="W114" s="197"/>
      <c r="X114" s="197"/>
      <c r="AA114" s="208"/>
      <c r="AB114" s="208"/>
      <c r="AC114" s="208"/>
    </row>
    <row r="115" spans="1:35" s="267" customFormat="1" ht="25.5" customHeight="1">
      <c r="A115" s="340"/>
      <c r="B115" s="29"/>
      <c r="C115" s="9"/>
      <c r="D115" s="9"/>
      <c r="E115" s="9"/>
      <c r="F115" s="207"/>
      <c r="G115" s="207"/>
      <c r="H115" s="207"/>
      <c r="I115" s="207"/>
      <c r="J115" s="207"/>
      <c r="K115" s="207"/>
      <c r="L115" s="207"/>
      <c r="M115" s="173"/>
      <c r="N115" s="277"/>
      <c r="O115" s="277"/>
      <c r="P115" s="328"/>
      <c r="S115" s="295"/>
      <c r="T115" s="295"/>
      <c r="U115" s="295"/>
      <c r="V115" s="295"/>
      <c r="W115" s="295"/>
      <c r="X115" s="295"/>
    </row>
    <row r="116" spans="1:35" ht="25">
      <c r="A116" s="341"/>
      <c r="B116" s="518" t="s">
        <v>220</v>
      </c>
      <c r="C116" s="588" t="s">
        <v>242</v>
      </c>
      <c r="D116" s="588"/>
      <c r="E116" s="143"/>
      <c r="F116" s="572" t="s">
        <v>241</v>
      </c>
      <c r="G116" s="572"/>
      <c r="H116" s="292" t="s">
        <v>30</v>
      </c>
      <c r="I116" s="290"/>
      <c r="J116" s="573" t="s">
        <v>240</v>
      </c>
      <c r="K116" s="573"/>
      <c r="L116" s="291"/>
      <c r="M116" s="290"/>
      <c r="N116" s="293" t="s">
        <v>36</v>
      </c>
      <c r="O116" s="277"/>
      <c r="P116" s="211"/>
    </row>
    <row r="117" spans="1:35" ht="25.5" customHeight="1">
      <c r="A117" s="341"/>
      <c r="B117" s="590" t="s">
        <v>106</v>
      </c>
      <c r="C117" s="590"/>
      <c r="D117" s="549" t="s">
        <v>25</v>
      </c>
      <c r="E117" s="31"/>
      <c r="F117" s="591">
        <f>BAAS_on.demand_EUR</f>
        <v>0.23205910000000002</v>
      </c>
      <c r="G117" s="592"/>
      <c r="H117" s="342">
        <v>0</v>
      </c>
      <c r="I117" s="299" t="s">
        <v>26</v>
      </c>
      <c r="J117" s="593" t="s">
        <v>25</v>
      </c>
      <c r="K117" s="593"/>
      <c r="L117" s="343"/>
      <c r="M117" s="299"/>
      <c r="N117" s="469">
        <f>ROUNDUP(H117*F117,2)</f>
        <v>0</v>
      </c>
      <c r="O117" s="277"/>
      <c r="P117" s="211"/>
    </row>
    <row r="118" spans="1:35" ht="25.5" customHeight="1">
      <c r="A118" s="341"/>
      <c r="B118" s="594" t="s">
        <v>107</v>
      </c>
      <c r="C118" s="594"/>
      <c r="D118" s="550">
        <f>BAAS_small.fee_EUR</f>
        <v>520.94899999999996</v>
      </c>
      <c r="E118" s="34"/>
      <c r="F118" s="595">
        <f>BAAS_small_EUR</f>
        <v>0.1657565</v>
      </c>
      <c r="G118" s="596"/>
      <c r="H118" s="344">
        <v>0</v>
      </c>
      <c r="I118" s="303" t="s">
        <v>26</v>
      </c>
      <c r="J118" s="597">
        <v>0.75</v>
      </c>
      <c r="K118" s="598"/>
      <c r="L118" s="303"/>
      <c r="M118" s="303"/>
      <c r="N118" s="470">
        <f>IF(H118&gt;0,IF(SUM($D$118+($F$118*((H118*(1-$J$118))-1000)))&lt;=D118,$D$118,$D$118+($F$118*((H118*(1-$J$118))-1000))),0)</f>
        <v>0</v>
      </c>
      <c r="O118" s="277"/>
      <c r="P118" s="211"/>
    </row>
    <row r="119" spans="1:35" s="348" customFormat="1" ht="25.5" customHeight="1">
      <c r="A119" s="345"/>
      <c r="B119" s="599" t="s">
        <v>108</v>
      </c>
      <c r="C119" s="599"/>
      <c r="D119" s="551">
        <f>BAAS_large.fee_EUR</f>
        <v>899.82099999999991</v>
      </c>
      <c r="E119" s="37"/>
      <c r="F119" s="600">
        <f>BAAS_large_EUR</f>
        <v>8.7140560000000006E-2</v>
      </c>
      <c r="G119" s="601"/>
      <c r="H119" s="330">
        <v>0</v>
      </c>
      <c r="I119" s="331" t="s">
        <v>26</v>
      </c>
      <c r="J119" s="602">
        <v>0.75</v>
      </c>
      <c r="K119" s="603"/>
      <c r="L119" s="331"/>
      <c r="M119" s="331"/>
      <c r="N119" s="471">
        <f>IF(H119&gt;0,$D$119+($F$119*(H119*(1-$J$119))),0)</f>
        <v>0</v>
      </c>
      <c r="O119" s="277"/>
      <c r="P119" s="347"/>
      <c r="W119" s="208"/>
      <c r="X119" s="208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</row>
    <row r="120" spans="1:35" s="348" customFormat="1" ht="25.5" customHeight="1">
      <c r="A120" s="345"/>
      <c r="B120" s="20" t="s">
        <v>20</v>
      </c>
      <c r="C120" s="21"/>
      <c r="D120" s="21"/>
      <c r="E120" s="21"/>
      <c r="F120" s="236"/>
      <c r="G120" s="237"/>
      <c r="H120" s="307" t="str">
        <f>SUM(H117:H119)&amp;" GB"</f>
        <v>0 GB</v>
      </c>
      <c r="I120" s="237"/>
      <c r="J120" s="237"/>
      <c r="K120" s="335"/>
      <c r="L120" s="335"/>
      <c r="N120" s="462">
        <f>SUM(N117:N119)</f>
        <v>0</v>
      </c>
      <c r="O120" s="277"/>
      <c r="P120" s="347"/>
      <c r="R120" s="349"/>
      <c r="W120" s="208"/>
      <c r="X120" s="208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</row>
    <row r="121" spans="1:35" s="348" customFormat="1" ht="25.5" customHeight="1">
      <c r="A121" s="345"/>
      <c r="B121" s="20"/>
      <c r="C121" s="21"/>
      <c r="D121" s="21"/>
      <c r="E121" s="21"/>
      <c r="F121" s="236"/>
      <c r="G121" s="237"/>
      <c r="H121" s="237"/>
      <c r="I121" s="237"/>
      <c r="J121" s="237"/>
      <c r="K121" s="335"/>
      <c r="L121" s="335"/>
      <c r="M121" s="50"/>
      <c r="N121" s="50"/>
      <c r="O121" s="277"/>
      <c r="P121" s="347"/>
      <c r="R121" s="349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</row>
    <row r="122" spans="1:35" s="348" customFormat="1" ht="25.5" customHeight="1">
      <c r="A122" s="345"/>
      <c r="B122" s="30" t="s">
        <v>236</v>
      </c>
      <c r="C122" s="21"/>
      <c r="D122" s="21"/>
      <c r="E122" s="21"/>
      <c r="F122" s="236"/>
      <c r="G122" s="237"/>
      <c r="H122" s="237"/>
      <c r="I122" s="237"/>
      <c r="J122" s="237"/>
      <c r="K122" s="335"/>
      <c r="L122" s="335"/>
      <c r="M122" s="50"/>
      <c r="N122" s="50"/>
      <c r="O122" s="50"/>
      <c r="P122" s="347"/>
      <c r="R122" s="349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</row>
    <row r="123" spans="1:35" ht="25.5" customHeight="1">
      <c r="B123" s="30" t="s">
        <v>237</v>
      </c>
      <c r="C123" s="21"/>
      <c r="D123" s="21"/>
      <c r="E123" s="21"/>
      <c r="F123" s="236"/>
      <c r="G123" s="237"/>
      <c r="H123" s="237"/>
      <c r="I123" s="237"/>
      <c r="J123" s="237"/>
      <c r="K123" s="335"/>
      <c r="L123" s="335"/>
      <c r="M123" s="50"/>
      <c r="N123" s="50"/>
      <c r="O123" s="50"/>
      <c r="P123" s="225"/>
      <c r="R123" s="197"/>
      <c r="S123" s="197"/>
    </row>
    <row r="124" spans="1:35" ht="25.5" customHeight="1">
      <c r="B124" s="30" t="s">
        <v>238</v>
      </c>
      <c r="C124" s="28"/>
      <c r="D124" s="28"/>
      <c r="E124" s="28"/>
      <c r="F124" s="337"/>
      <c r="G124" s="338"/>
      <c r="H124" s="309"/>
      <c r="I124" s="309"/>
      <c r="J124" s="309"/>
      <c r="K124" s="339"/>
      <c r="L124" s="339"/>
      <c r="M124" s="312"/>
      <c r="N124" s="312"/>
      <c r="O124" s="312"/>
      <c r="P124" s="225"/>
      <c r="R124" s="197"/>
      <c r="S124" s="197"/>
    </row>
    <row r="125" spans="1:35" ht="25.5" customHeight="1">
      <c r="B125" s="30" t="s">
        <v>239</v>
      </c>
      <c r="C125" s="28"/>
      <c r="D125" s="28"/>
      <c r="E125" s="28"/>
      <c r="F125" s="337"/>
      <c r="G125" s="338"/>
      <c r="H125" s="309"/>
      <c r="I125" s="309"/>
      <c r="J125" s="309"/>
      <c r="K125" s="339"/>
      <c r="L125" s="312"/>
      <c r="M125" s="312"/>
      <c r="N125" s="312"/>
      <c r="O125" s="207"/>
      <c r="P125" s="225"/>
      <c r="Q125" s="197"/>
      <c r="R125" s="197"/>
    </row>
    <row r="126" spans="1:35" ht="25.5" customHeight="1">
      <c r="B126" s="30"/>
      <c r="C126" s="28"/>
      <c r="D126" s="28"/>
      <c r="E126" s="28"/>
      <c r="F126" s="337"/>
      <c r="G126" s="338"/>
      <c r="H126" s="309"/>
      <c r="I126" s="309"/>
      <c r="J126" s="309"/>
      <c r="K126" s="339"/>
      <c r="L126" s="312"/>
      <c r="M126" s="312"/>
      <c r="N126" s="312"/>
      <c r="O126" s="207"/>
      <c r="P126" s="225"/>
      <c r="Q126" s="197"/>
      <c r="R126" s="197"/>
    </row>
    <row r="127" spans="1:35" ht="25.5" customHeight="1">
      <c r="B127" s="30"/>
      <c r="C127" s="28"/>
      <c r="D127" s="28"/>
      <c r="E127" s="28"/>
      <c r="F127" s="337"/>
      <c r="G127" s="338"/>
      <c r="H127" s="309"/>
      <c r="I127" s="309"/>
      <c r="J127" s="309"/>
      <c r="K127" s="339"/>
      <c r="L127" s="312"/>
      <c r="M127" s="312"/>
      <c r="N127" s="312"/>
      <c r="O127" s="207"/>
      <c r="P127" s="225"/>
      <c r="Q127" s="197"/>
      <c r="R127" s="197"/>
    </row>
    <row r="128" spans="1:35" ht="25.5" customHeight="1">
      <c r="B128" s="30"/>
      <c r="C128" s="28"/>
      <c r="D128" s="28"/>
      <c r="E128" s="28"/>
      <c r="F128" s="337"/>
      <c r="G128" s="338"/>
      <c r="H128" s="309"/>
      <c r="I128" s="309"/>
      <c r="J128" s="309"/>
      <c r="K128" s="339"/>
      <c r="L128" s="312"/>
      <c r="M128" s="312"/>
      <c r="N128" s="312"/>
      <c r="O128" s="207"/>
      <c r="P128" s="225"/>
      <c r="Q128" s="197"/>
      <c r="R128" s="197"/>
    </row>
    <row r="129" spans="2:27" ht="25.5" customHeight="1">
      <c r="B129" s="30"/>
      <c r="C129" s="28"/>
      <c r="D129" s="28"/>
      <c r="E129" s="28"/>
      <c r="F129" s="337"/>
      <c r="G129" s="338"/>
      <c r="H129" s="309"/>
      <c r="I129" s="309"/>
      <c r="J129" s="309"/>
      <c r="K129" s="339"/>
      <c r="L129" s="312"/>
      <c r="M129" s="312"/>
      <c r="N129" s="312"/>
      <c r="O129" s="207"/>
      <c r="P129" s="225"/>
      <c r="Q129" s="197"/>
      <c r="R129" s="197"/>
    </row>
    <row r="130" spans="2:27" s="192" customFormat="1" ht="25.5" customHeight="1">
      <c r="B130" s="570" t="s">
        <v>243</v>
      </c>
      <c r="C130" s="570"/>
      <c r="D130" s="570"/>
      <c r="E130" s="570"/>
      <c r="F130" s="570"/>
      <c r="G130" s="570"/>
      <c r="H130" s="193"/>
      <c r="J130" s="194"/>
      <c r="K130" s="194"/>
      <c r="M130" s="195"/>
      <c r="N130" s="312"/>
      <c r="O130" s="207"/>
      <c r="P130" s="225"/>
    </row>
    <row r="131" spans="2:27" s="192" customFormat="1" ht="25.5" customHeight="1">
      <c r="B131" s="570"/>
      <c r="C131" s="570"/>
      <c r="D131" s="570"/>
      <c r="E131" s="570"/>
      <c r="F131" s="570"/>
      <c r="G131" s="570"/>
      <c r="H131" s="193"/>
      <c r="J131" s="194"/>
      <c r="K131" s="194"/>
      <c r="M131" s="195"/>
      <c r="N131" s="312"/>
      <c r="O131" s="207"/>
      <c r="P131" s="225"/>
    </row>
    <row r="132" spans="2:27" s="192" customFormat="1" ht="25.5" customHeight="1">
      <c r="B132" s="570"/>
      <c r="C132" s="570"/>
      <c r="D132" s="570"/>
      <c r="E132" s="570"/>
      <c r="F132" s="570"/>
      <c r="G132" s="570"/>
      <c r="H132" s="193"/>
      <c r="J132" s="194"/>
      <c r="K132" s="194"/>
      <c r="M132" s="195"/>
      <c r="N132" s="312"/>
      <c r="O132" s="207"/>
      <c r="P132" s="225"/>
    </row>
    <row r="133" spans="2:27" s="192" customFormat="1" ht="25.5" customHeight="1">
      <c r="B133" s="571" t="s">
        <v>218</v>
      </c>
      <c r="C133" s="571"/>
      <c r="D133" s="571"/>
      <c r="E133" s="571"/>
      <c r="F133" s="571"/>
      <c r="H133" s="193"/>
      <c r="J133" s="194"/>
      <c r="K133" s="194"/>
      <c r="M133" s="195"/>
      <c r="N133" s="312"/>
      <c r="O133" s="207"/>
      <c r="P133" s="225"/>
    </row>
    <row r="134" spans="2:27" s="192" customFormat="1" ht="25.5" customHeight="1">
      <c r="B134" s="589"/>
      <c r="C134" s="589"/>
      <c r="D134" s="589"/>
      <c r="E134" s="589"/>
      <c r="F134" s="589"/>
      <c r="G134" s="199"/>
      <c r="H134" s="200"/>
      <c r="I134" s="199"/>
      <c r="J134" s="201"/>
      <c r="K134" s="202"/>
      <c r="L134" s="199"/>
      <c r="M134" s="203"/>
      <c r="N134" s="312"/>
      <c r="O134" s="207"/>
      <c r="P134" s="225"/>
    </row>
    <row r="135" spans="2:27" s="192" customFormat="1" ht="25.5" customHeight="1">
      <c r="B135" s="145"/>
      <c r="C135" s="145"/>
      <c r="D135" s="145"/>
      <c r="E135" s="145"/>
      <c r="F135" s="205"/>
      <c r="G135" s="199"/>
      <c r="H135" s="199"/>
      <c r="I135" s="199"/>
      <c r="J135" s="199"/>
      <c r="K135" s="199"/>
      <c r="L135" s="199"/>
      <c r="M135" s="200"/>
      <c r="N135" s="199"/>
      <c r="O135" s="201"/>
      <c r="P135" s="225"/>
      <c r="Q135" s="199"/>
      <c r="R135" s="203"/>
      <c r="S135" s="312"/>
      <c r="T135" s="207"/>
    </row>
    <row r="136" spans="2:27" s="207" customFormat="1" ht="25.5" customHeight="1">
      <c r="B136" s="479" t="s">
        <v>247</v>
      </c>
      <c r="C136" s="145"/>
      <c r="D136" s="145"/>
      <c r="E136" s="145"/>
      <c r="F136" s="205"/>
      <c r="G136" s="199"/>
      <c r="H136" s="199"/>
      <c r="I136" s="199"/>
      <c r="J136" s="199"/>
      <c r="K136" s="199"/>
      <c r="L136" s="199"/>
      <c r="M136" s="199"/>
      <c r="N136" s="199"/>
      <c r="O136" s="201"/>
      <c r="P136" s="225"/>
      <c r="Q136" s="199"/>
      <c r="R136" s="203"/>
      <c r="S136" s="312"/>
      <c r="V136" s="197"/>
      <c r="W136" s="197"/>
      <c r="X136" s="197"/>
      <c r="Y136" s="197"/>
      <c r="Z136" s="197"/>
      <c r="AA136" s="197"/>
    </row>
    <row r="137" spans="2:27" ht="25.5" customHeight="1">
      <c r="B137" s="552" t="s">
        <v>220</v>
      </c>
      <c r="C137" s="25" t="s">
        <v>244</v>
      </c>
      <c r="D137" s="25"/>
      <c r="E137" s="26" t="s">
        <v>184</v>
      </c>
      <c r="F137" s="290"/>
      <c r="G137" s="293"/>
      <c r="H137" s="293"/>
      <c r="I137" s="293"/>
      <c r="J137" s="293"/>
      <c r="K137" s="293"/>
      <c r="L137" s="350" t="s">
        <v>246</v>
      </c>
      <c r="M137" s="350"/>
      <c r="N137" s="293" t="s">
        <v>222</v>
      </c>
      <c r="O137" s="218"/>
      <c r="P137" s="225"/>
      <c r="Q137" s="352"/>
      <c r="R137" s="351"/>
      <c r="S137" s="312"/>
      <c r="T137" s="207"/>
    </row>
    <row r="138" spans="2:27" ht="25.5" customHeight="1">
      <c r="B138" s="146" t="s">
        <v>167</v>
      </c>
      <c r="C138" s="32" t="s">
        <v>125</v>
      </c>
      <c r="D138" s="141"/>
      <c r="E138" s="41" t="s">
        <v>245</v>
      </c>
      <c r="F138" s="353"/>
      <c r="G138" s="354"/>
      <c r="H138" s="354"/>
      <c r="I138" s="354"/>
      <c r="J138" s="354"/>
      <c r="K138" s="354"/>
      <c r="L138" s="355" t="s">
        <v>178</v>
      </c>
      <c r="M138" s="355"/>
      <c r="N138" s="481">
        <f>NET_publicv4_EUR</f>
        <v>1.8943599999999998</v>
      </c>
      <c r="O138" s="208"/>
      <c r="P138" s="225"/>
      <c r="Q138" s="209"/>
      <c r="R138" s="173"/>
      <c r="S138" s="312"/>
      <c r="T138" s="207"/>
    </row>
    <row r="139" spans="2:27" ht="25.5" customHeight="1">
      <c r="B139" s="149" t="s">
        <v>168</v>
      </c>
      <c r="C139" s="40" t="s">
        <v>124</v>
      </c>
      <c r="D139" s="142"/>
      <c r="E139" s="43" t="s">
        <v>245</v>
      </c>
      <c r="F139" s="357"/>
      <c r="G139" s="358"/>
      <c r="H139" s="358"/>
      <c r="I139" s="358"/>
      <c r="J139" s="358"/>
      <c r="K139" s="358"/>
      <c r="L139" s="359" t="s">
        <v>25</v>
      </c>
      <c r="M139" s="359"/>
      <c r="N139" s="474">
        <f>NET_publicv6_EUR</f>
        <v>0</v>
      </c>
      <c r="O139" s="208"/>
      <c r="P139" s="225"/>
      <c r="Q139" s="209"/>
      <c r="R139" s="173"/>
      <c r="S139" s="312"/>
      <c r="T139" s="207"/>
    </row>
    <row r="140" spans="2:27" ht="25.5" customHeight="1">
      <c r="B140" s="146" t="s">
        <v>173</v>
      </c>
      <c r="C140" s="32" t="s">
        <v>298</v>
      </c>
      <c r="D140" s="141"/>
      <c r="E140" s="160"/>
      <c r="F140" s="361"/>
      <c r="G140" s="354"/>
      <c r="H140" s="354"/>
      <c r="I140" s="354"/>
      <c r="J140" s="354"/>
      <c r="K140" s="354"/>
      <c r="L140" s="355" t="s">
        <v>26</v>
      </c>
      <c r="M140" s="355"/>
      <c r="N140" s="473">
        <f>NET_ingress_EUR</f>
        <v>0</v>
      </c>
      <c r="O140" s="208"/>
      <c r="P140" s="225"/>
      <c r="Q140" s="209"/>
      <c r="R140" s="173"/>
      <c r="S140" s="312"/>
      <c r="T140" s="207"/>
    </row>
    <row r="141" spans="2:27" ht="25.5" customHeight="1">
      <c r="B141" s="149" t="s">
        <v>174</v>
      </c>
      <c r="C141" s="532" t="s">
        <v>298</v>
      </c>
      <c r="D141" s="142"/>
      <c r="E141" s="43" t="s">
        <v>297</v>
      </c>
      <c r="F141" s="357"/>
      <c r="G141" s="362"/>
      <c r="H141" s="362"/>
      <c r="I141" s="362"/>
      <c r="J141" s="362"/>
      <c r="K141" s="362"/>
      <c r="L141" s="363" t="s">
        <v>26</v>
      </c>
      <c r="M141" s="363"/>
      <c r="N141" s="474">
        <f>NET_egress_EUR</f>
        <v>2.3679499999999999E-2</v>
      </c>
      <c r="O141" s="208"/>
      <c r="P141" s="225"/>
      <c r="Q141" s="209"/>
      <c r="R141" s="173"/>
      <c r="S141" s="312"/>
      <c r="T141" s="207"/>
    </row>
    <row r="142" spans="2:27" ht="25.5" customHeight="1">
      <c r="B142" s="146" t="s">
        <v>170</v>
      </c>
      <c r="C142" s="32" t="s">
        <v>126</v>
      </c>
      <c r="D142" s="141"/>
      <c r="E142" s="32"/>
      <c r="F142" s="361"/>
      <c r="G142" s="354"/>
      <c r="H142" s="354"/>
      <c r="I142" s="354"/>
      <c r="J142" s="354"/>
      <c r="K142" s="354"/>
      <c r="L142" s="355" t="s">
        <v>262</v>
      </c>
      <c r="M142" s="355"/>
      <c r="N142" s="469">
        <f>NET_mgn.slb_EUR</f>
        <v>28.415399999999998</v>
      </c>
      <c r="O142" s="173"/>
      <c r="P142" s="225"/>
      <c r="Q142" s="173"/>
      <c r="R142" s="364"/>
      <c r="T142" s="341"/>
    </row>
    <row r="143" spans="2:27" ht="25.5" customHeight="1">
      <c r="B143" s="149" t="s">
        <v>172</v>
      </c>
      <c r="C143" s="40" t="s">
        <v>128</v>
      </c>
      <c r="D143" s="142"/>
      <c r="E143" s="43"/>
      <c r="F143" s="357"/>
      <c r="G143" s="362"/>
      <c r="H143" s="362"/>
      <c r="I143" s="362"/>
      <c r="J143" s="362"/>
      <c r="K143" s="362"/>
      <c r="L143" s="359" t="s">
        <v>25</v>
      </c>
      <c r="M143" s="359"/>
      <c r="N143" s="474">
        <f>NET_rdns_EUR</f>
        <v>0</v>
      </c>
      <c r="O143" s="208"/>
      <c r="P143" s="225"/>
      <c r="Q143" s="209"/>
      <c r="R143" s="173"/>
      <c r="S143" s="312"/>
      <c r="T143" s="207"/>
    </row>
    <row r="144" spans="2:27" ht="25.5" customHeight="1">
      <c r="B144" s="146" t="s">
        <v>171</v>
      </c>
      <c r="C144" s="32" t="s">
        <v>127</v>
      </c>
      <c r="D144" s="141"/>
      <c r="E144" s="32"/>
      <c r="F144" s="361"/>
      <c r="G144" s="365"/>
      <c r="H144" s="365"/>
      <c r="I144" s="365"/>
      <c r="J144" s="365"/>
      <c r="K144" s="365"/>
      <c r="L144" s="366" t="s">
        <v>25</v>
      </c>
      <c r="M144" s="366"/>
      <c r="N144" s="473">
        <f>NET_saferoute_EUR</f>
        <v>0</v>
      </c>
      <c r="O144" s="208"/>
      <c r="P144" s="225"/>
      <c r="Q144" s="209"/>
      <c r="R144" s="173"/>
      <c r="S144" s="312"/>
      <c r="T144" s="207"/>
    </row>
    <row r="145" spans="2:23" ht="25.5" customHeight="1">
      <c r="B145" s="149" t="s">
        <v>169</v>
      </c>
      <c r="C145" s="40" t="s">
        <v>122</v>
      </c>
      <c r="D145" s="142"/>
      <c r="E145" s="43"/>
      <c r="F145" s="357"/>
      <c r="G145" s="362"/>
      <c r="H145" s="362"/>
      <c r="I145" s="362"/>
      <c r="J145" s="362"/>
      <c r="K145" s="362"/>
      <c r="L145" s="359" t="s">
        <v>25</v>
      </c>
      <c r="M145" s="359"/>
      <c r="N145" s="474">
        <f>NET_byoip_EUR</f>
        <v>0</v>
      </c>
      <c r="O145" s="208"/>
      <c r="P145" s="225"/>
      <c r="Q145" s="209"/>
      <c r="R145" s="173"/>
      <c r="S145" s="312"/>
      <c r="T145" s="207"/>
    </row>
    <row r="146" spans="2:23" ht="40.5" customHeight="1">
      <c r="B146" s="553"/>
      <c r="C146" s="153"/>
      <c r="D146" s="154"/>
      <c r="E146" s="154"/>
      <c r="F146" s="368"/>
      <c r="G146" s="368"/>
      <c r="H146" s="368"/>
      <c r="I146" s="368"/>
      <c r="J146" s="368"/>
      <c r="K146" s="368"/>
      <c r="L146" s="367"/>
      <c r="M146" s="367"/>
      <c r="N146" s="368"/>
      <c r="O146" s="208"/>
      <c r="P146" s="225"/>
      <c r="Q146" s="209"/>
      <c r="R146" s="173"/>
      <c r="S146" s="312"/>
      <c r="T146" s="207"/>
    </row>
    <row r="147" spans="2:23" ht="25.5" customHeight="1">
      <c r="B147" s="479" t="s">
        <v>248</v>
      </c>
      <c r="C147" s="15"/>
      <c r="D147" s="15"/>
      <c r="E147" s="15"/>
      <c r="F147" s="218"/>
      <c r="G147" s="218"/>
      <c r="H147" s="218"/>
      <c r="I147" s="218"/>
      <c r="J147" s="218"/>
      <c r="K147" s="218"/>
      <c r="L147" s="369"/>
      <c r="M147" s="369"/>
      <c r="O147" s="173"/>
      <c r="P147" s="225"/>
      <c r="Q147" s="173"/>
      <c r="R147" s="364"/>
      <c r="S147" s="312"/>
      <c r="T147" s="207"/>
    </row>
    <row r="148" spans="2:23" ht="25.5" customHeight="1">
      <c r="B148" s="552" t="s">
        <v>220</v>
      </c>
      <c r="C148" s="25"/>
      <c r="D148" s="26"/>
      <c r="E148" s="26" t="s">
        <v>184</v>
      </c>
      <c r="F148" s="290"/>
      <c r="G148" s="293"/>
      <c r="H148" s="293"/>
      <c r="I148" s="293"/>
      <c r="J148" s="293"/>
      <c r="K148" s="293"/>
      <c r="L148" s="350" t="s">
        <v>246</v>
      </c>
      <c r="M148" s="350"/>
      <c r="N148" s="293" t="s">
        <v>222</v>
      </c>
      <c r="O148" s="208"/>
      <c r="P148" s="225"/>
      <c r="Q148" s="173"/>
      <c r="R148" s="173"/>
      <c r="S148" s="312"/>
      <c r="T148" s="207"/>
    </row>
    <row r="149" spans="2:23" ht="25.5" customHeight="1">
      <c r="B149" s="146" t="s">
        <v>81</v>
      </c>
      <c r="C149" s="141"/>
      <c r="D149" s="32"/>
      <c r="E149" s="32" t="s">
        <v>76</v>
      </c>
      <c r="F149" s="353"/>
      <c r="G149" s="354"/>
      <c r="H149" s="354"/>
      <c r="I149" s="354"/>
      <c r="J149" s="354"/>
      <c r="K149" s="354"/>
      <c r="L149" s="355" t="s">
        <v>8</v>
      </c>
      <c r="M149" s="355"/>
      <c r="N149" s="469">
        <f>SW_win.ser.201X_EUR</f>
        <v>7.3880039999999996</v>
      </c>
      <c r="O149" s="309"/>
      <c r="P149" s="225"/>
      <c r="Q149" s="173"/>
      <c r="R149" s="312"/>
      <c r="S149" s="312"/>
      <c r="T149" s="207"/>
      <c r="V149" s="197"/>
      <c r="W149" s="197"/>
    </row>
    <row r="150" spans="2:23" ht="25.5" customHeight="1">
      <c r="B150" s="149" t="s">
        <v>82</v>
      </c>
      <c r="C150" s="142"/>
      <c r="D150" s="40"/>
      <c r="E150" s="40" t="s">
        <v>77</v>
      </c>
      <c r="F150" s="357"/>
      <c r="G150" s="358"/>
      <c r="H150" s="358"/>
      <c r="I150" s="358"/>
      <c r="J150" s="358"/>
      <c r="K150" s="358"/>
      <c r="L150" s="363" t="s">
        <v>8</v>
      </c>
      <c r="M150" s="363"/>
      <c r="N150" s="470">
        <f>SW_win.ser.201X_EUR</f>
        <v>7.3880039999999996</v>
      </c>
      <c r="O150" s="309"/>
      <c r="P150" s="225"/>
      <c r="Q150" s="173"/>
      <c r="R150" s="312"/>
      <c r="S150" s="312"/>
      <c r="T150" s="207"/>
      <c r="V150" s="197"/>
      <c r="W150" s="197"/>
    </row>
    <row r="151" spans="2:23" s="192" customFormat="1" ht="25.5" customHeight="1">
      <c r="B151" s="146" t="s">
        <v>86</v>
      </c>
      <c r="C151" s="141"/>
      <c r="D151" s="32"/>
      <c r="E151" s="32" t="s">
        <v>78</v>
      </c>
      <c r="F151" s="353"/>
      <c r="G151" s="354"/>
      <c r="H151" s="354"/>
      <c r="I151" s="354"/>
      <c r="J151" s="354"/>
      <c r="K151" s="354"/>
      <c r="L151" s="355" t="s">
        <v>8</v>
      </c>
      <c r="M151" s="355"/>
      <c r="N151" s="469">
        <f>SW_ms.sql.ser_EUR</f>
        <v>89.03492</v>
      </c>
      <c r="P151" s="225"/>
      <c r="Q151" s="173"/>
      <c r="S151" s="312"/>
      <c r="T151" s="207"/>
    </row>
    <row r="152" spans="2:23" ht="25.5" customHeight="1">
      <c r="B152" s="149" t="s">
        <v>133</v>
      </c>
      <c r="C152" s="142"/>
      <c r="D152" s="40"/>
      <c r="E152" s="40" t="s">
        <v>115</v>
      </c>
      <c r="F152" s="357"/>
      <c r="G152" s="358"/>
      <c r="H152" s="358"/>
      <c r="I152" s="358"/>
      <c r="J152" s="358"/>
      <c r="K152" s="358"/>
      <c r="L152" s="363" t="s">
        <v>262</v>
      </c>
      <c r="M152" s="363"/>
      <c r="N152" s="470">
        <f>SW_stackn_EUR</f>
        <v>928.2364</v>
      </c>
      <c r="O152" s="208"/>
      <c r="P152" s="225"/>
      <c r="Q152" s="173"/>
      <c r="R152" s="173"/>
      <c r="S152" s="312"/>
      <c r="T152" s="207"/>
    </row>
    <row r="153" spans="2:23" ht="25.5" customHeight="1">
      <c r="B153" s="146" t="s">
        <v>132</v>
      </c>
      <c r="C153" s="141"/>
      <c r="D153" s="32"/>
      <c r="E153" s="32" t="s">
        <v>131</v>
      </c>
      <c r="F153" s="353"/>
      <c r="G153" s="354"/>
      <c r="H153" s="354"/>
      <c r="I153" s="354"/>
      <c r="J153" s="354"/>
      <c r="K153" s="354"/>
      <c r="L153" s="366" t="s">
        <v>25</v>
      </c>
      <c r="M153" s="366"/>
      <c r="N153" s="533" t="str">
        <f>SW_nextcloud_EUR</f>
        <v>Request a quote</v>
      </c>
      <c r="O153" s="309"/>
      <c r="P153" s="225"/>
      <c r="Q153" s="173"/>
      <c r="R153" s="312"/>
      <c r="S153" s="312"/>
      <c r="T153" s="207"/>
      <c r="V153" s="197"/>
      <c r="W153" s="197"/>
    </row>
    <row r="154" spans="2:23" s="192" customFormat="1" ht="25.5" customHeight="1">
      <c r="B154" s="149" t="s">
        <v>138</v>
      </c>
      <c r="C154" s="142"/>
      <c r="D154" s="40"/>
      <c r="E154" s="40" t="s">
        <v>137</v>
      </c>
      <c r="F154" s="357"/>
      <c r="G154" s="358"/>
      <c r="H154" s="358"/>
      <c r="I154" s="358"/>
      <c r="J154" s="358"/>
      <c r="K154" s="358"/>
      <c r="L154" s="359" t="s">
        <v>25</v>
      </c>
      <c r="M154" s="359"/>
      <c r="N154" s="534" t="str">
        <f>SW_suse_EUR</f>
        <v>Request a quote</v>
      </c>
      <c r="P154" s="225"/>
      <c r="Q154" s="173"/>
      <c r="S154" s="312"/>
      <c r="T154" s="207"/>
    </row>
    <row r="155" spans="2:23" ht="25.5" customHeight="1">
      <c r="B155" s="146" t="s">
        <v>134</v>
      </c>
      <c r="C155" s="141"/>
      <c r="D155" s="32"/>
      <c r="E155" s="32" t="s">
        <v>85</v>
      </c>
      <c r="F155" s="353"/>
      <c r="G155" s="354"/>
      <c r="H155" s="354"/>
      <c r="I155" s="354"/>
      <c r="J155" s="354"/>
      <c r="K155" s="354"/>
      <c r="L155" s="496" t="s">
        <v>262</v>
      </c>
      <c r="M155" s="496"/>
      <c r="N155" s="533" t="str">
        <f>SW_cluster.control_EUR</f>
        <v>3x instance price</v>
      </c>
      <c r="O155" s="208"/>
      <c r="P155" s="225"/>
      <c r="Q155" s="173"/>
      <c r="R155" s="173"/>
      <c r="S155" s="312"/>
      <c r="T155" s="207"/>
    </row>
    <row r="156" spans="2:23" ht="25.5" customHeight="1">
      <c r="B156" s="149" t="s">
        <v>84</v>
      </c>
      <c r="C156" s="142"/>
      <c r="D156" s="40"/>
      <c r="E156" s="40" t="s">
        <v>83</v>
      </c>
      <c r="F156" s="357"/>
      <c r="G156" s="358"/>
      <c r="H156" s="358"/>
      <c r="I156" s="358"/>
      <c r="J156" s="358"/>
      <c r="K156" s="358"/>
      <c r="L156" s="363" t="s">
        <v>177</v>
      </c>
      <c r="M156" s="363"/>
      <c r="N156" s="470">
        <f>SW_backup.ninja_EUR</f>
        <v>37.8872</v>
      </c>
      <c r="O156" s="208"/>
      <c r="P156" s="225"/>
      <c r="Q156" s="173"/>
      <c r="R156" s="173"/>
      <c r="S156" s="312"/>
      <c r="T156" s="207"/>
    </row>
    <row r="157" spans="2:23" ht="25.5" customHeight="1">
      <c r="B157" s="112"/>
      <c r="C157" s="109"/>
      <c r="D157" s="110"/>
      <c r="E157" s="110"/>
      <c r="F157" s="374"/>
      <c r="G157" s="375"/>
      <c r="H157" s="375"/>
      <c r="I157" s="375"/>
      <c r="J157" s="375"/>
      <c r="K157" s="375"/>
      <c r="L157" s="376"/>
      <c r="M157" s="376"/>
      <c r="N157" s="377"/>
      <c r="O157" s="208"/>
      <c r="P157" s="225"/>
      <c r="Q157" s="209"/>
      <c r="R157" s="173"/>
      <c r="S157" s="312"/>
      <c r="T157" s="207"/>
    </row>
    <row r="158" spans="2:23" ht="25.5" customHeight="1">
      <c r="B158" s="554"/>
      <c r="J158" s="208"/>
      <c r="K158" s="208"/>
      <c r="L158" s="378"/>
      <c r="M158" s="378"/>
      <c r="O158" s="173"/>
      <c r="P158" s="225"/>
      <c r="Q158" s="173"/>
      <c r="R158" s="364"/>
      <c r="S158" s="312"/>
      <c r="T158" s="207"/>
    </row>
    <row r="159" spans="2:23" ht="25.5" customHeight="1">
      <c r="B159" s="479" t="s">
        <v>249</v>
      </c>
      <c r="C159" s="15"/>
      <c r="D159" s="15"/>
      <c r="E159" s="15"/>
      <c r="F159" s="218"/>
      <c r="G159" s="218"/>
      <c r="H159" s="218"/>
      <c r="I159" s="218"/>
      <c r="J159" s="218"/>
      <c r="K159" s="218"/>
      <c r="L159" s="369"/>
      <c r="M159" s="369"/>
      <c r="O159" s="173"/>
      <c r="P159" s="225"/>
      <c r="Q159" s="173"/>
      <c r="R159" s="364"/>
      <c r="S159" s="312"/>
      <c r="T159" s="207"/>
    </row>
    <row r="160" spans="2:23" ht="25.5" customHeight="1">
      <c r="B160" s="552" t="s">
        <v>220</v>
      </c>
      <c r="C160" s="25"/>
      <c r="D160" s="26"/>
      <c r="E160" s="26" t="s">
        <v>184</v>
      </c>
      <c r="F160" s="290"/>
      <c r="G160" s="293"/>
      <c r="H160" s="293"/>
      <c r="I160" s="293"/>
      <c r="J160" s="293"/>
      <c r="K160" s="293"/>
      <c r="L160" s="350" t="s">
        <v>246</v>
      </c>
      <c r="M160" s="350"/>
      <c r="N160" s="293" t="s">
        <v>222</v>
      </c>
      <c r="O160" s="173"/>
      <c r="P160" s="225"/>
      <c r="Q160" s="173"/>
      <c r="R160" s="364"/>
      <c r="S160" s="312"/>
      <c r="T160" s="207"/>
    </row>
    <row r="161" spans="2:23" ht="25.5" customHeight="1">
      <c r="B161" s="146" t="s">
        <v>92</v>
      </c>
      <c r="C161" s="141"/>
      <c r="D161" s="32"/>
      <c r="E161" s="32" t="s">
        <v>296</v>
      </c>
      <c r="F161" s="353"/>
      <c r="G161" s="354"/>
      <c r="H161" s="354"/>
      <c r="I161" s="354"/>
      <c r="J161" s="354"/>
      <c r="K161" s="354"/>
      <c r="L161" s="355" t="s">
        <v>291</v>
      </c>
      <c r="M161" s="355"/>
      <c r="N161" s="475">
        <f>PAAS_man.kubernetes_EUR</f>
        <v>4900</v>
      </c>
      <c r="O161" s="173"/>
      <c r="P161" s="225"/>
      <c r="Q161" s="173"/>
      <c r="R161" s="364"/>
      <c r="S161" s="312"/>
      <c r="T161" s="207"/>
    </row>
    <row r="162" spans="2:23" ht="25.5" customHeight="1">
      <c r="B162" s="149" t="s">
        <v>93</v>
      </c>
      <c r="C162" s="142"/>
      <c r="D162" s="40"/>
      <c r="E162" s="40" t="s">
        <v>88</v>
      </c>
      <c r="F162" s="357"/>
      <c r="G162" s="358"/>
      <c r="H162" s="358"/>
      <c r="I162" s="358"/>
      <c r="J162" s="358"/>
      <c r="K162" s="358"/>
      <c r="L162" s="363" t="s">
        <v>292</v>
      </c>
      <c r="M162" s="363"/>
      <c r="N162" s="476">
        <f>PAAS_man.postgres.sql_EUR</f>
        <v>1950</v>
      </c>
      <c r="O162" s="173"/>
      <c r="P162" s="225"/>
      <c r="Q162" s="173"/>
      <c r="R162" s="364"/>
      <c r="S162" s="312"/>
      <c r="T162" s="207"/>
    </row>
    <row r="163" spans="2:23" ht="25.5" customHeight="1">
      <c r="B163" s="146" t="s">
        <v>94</v>
      </c>
      <c r="C163" s="141"/>
      <c r="D163" s="32"/>
      <c r="E163" s="32" t="s">
        <v>293</v>
      </c>
      <c r="F163" s="353"/>
      <c r="G163" s="354"/>
      <c r="H163" s="354"/>
      <c r="I163" s="354"/>
      <c r="J163" s="354"/>
      <c r="K163" s="354"/>
      <c r="L163" s="355" t="s">
        <v>262</v>
      </c>
      <c r="M163" s="355"/>
      <c r="N163" s="475">
        <f>PAAS_man.elasticsearch_EUR</f>
        <v>1950</v>
      </c>
      <c r="O163" s="173"/>
      <c r="P163" s="225"/>
      <c r="Q163" s="173"/>
      <c r="R163" s="364"/>
      <c r="S163" s="312"/>
      <c r="T163" s="207"/>
    </row>
    <row r="164" spans="2:23" ht="25.5" customHeight="1">
      <c r="B164" s="149" t="s">
        <v>95</v>
      </c>
      <c r="C164" s="142"/>
      <c r="D164" s="40"/>
      <c r="E164" s="40" t="s">
        <v>90</v>
      </c>
      <c r="F164" s="357"/>
      <c r="G164" s="358"/>
      <c r="H164" s="358"/>
      <c r="I164" s="358"/>
      <c r="J164" s="358"/>
      <c r="K164" s="358"/>
      <c r="L164" s="363" t="s">
        <v>294</v>
      </c>
      <c r="M164" s="363"/>
      <c r="N164" s="476">
        <f>PAAS_man.redis_EUR</f>
        <v>1900</v>
      </c>
      <c r="O164" s="173"/>
      <c r="P164" s="225"/>
      <c r="Q164" s="173"/>
      <c r="R164" s="364"/>
      <c r="S164" s="312"/>
      <c r="T164" s="207"/>
    </row>
    <row r="165" spans="2:23" ht="25.5" customHeight="1">
      <c r="B165" s="146" t="s">
        <v>96</v>
      </c>
      <c r="C165" s="141"/>
      <c r="D165" s="32"/>
      <c r="E165" s="32" t="s">
        <v>91</v>
      </c>
      <c r="F165" s="353"/>
      <c r="G165" s="354"/>
      <c r="H165" s="354"/>
      <c r="I165" s="354"/>
      <c r="J165" s="354"/>
      <c r="K165" s="354"/>
      <c r="L165" s="355" t="s">
        <v>295</v>
      </c>
      <c r="M165" s="355"/>
      <c r="N165" s="475">
        <f>PAAS_man.nats_EUR</f>
        <v>1950</v>
      </c>
      <c r="O165" s="173"/>
      <c r="P165" s="225"/>
      <c r="Q165" s="173"/>
      <c r="R165" s="364"/>
      <c r="S165" s="312"/>
      <c r="T165" s="207"/>
    </row>
    <row r="166" spans="2:23" ht="25.5" customHeight="1">
      <c r="B166" s="149" t="s">
        <v>139</v>
      </c>
      <c r="C166" s="142"/>
      <c r="D166" s="40"/>
      <c r="E166" s="40" t="s">
        <v>140</v>
      </c>
      <c r="F166" s="357"/>
      <c r="G166" s="358"/>
      <c r="H166" s="358"/>
      <c r="I166" s="358"/>
      <c r="J166" s="358"/>
      <c r="K166" s="358"/>
      <c r="L166" s="363" t="s">
        <v>292</v>
      </c>
      <c r="M166" s="363"/>
      <c r="N166" s="476">
        <f>PAAS_man.mariadb_EUR</f>
        <v>1950</v>
      </c>
      <c r="O166" s="173"/>
      <c r="P166" s="225"/>
      <c r="Q166" s="173"/>
      <c r="R166" s="364"/>
      <c r="S166" s="312"/>
      <c r="T166" s="207"/>
    </row>
    <row r="167" spans="2:23" ht="25.5" customHeight="1">
      <c r="B167" s="112"/>
      <c r="C167" s="109"/>
      <c r="D167" s="451"/>
      <c r="E167" s="111"/>
      <c r="F167" s="374"/>
      <c r="G167" s="375"/>
      <c r="H167" s="375"/>
      <c r="I167" s="375"/>
      <c r="J167" s="375"/>
      <c r="K167" s="375"/>
      <c r="L167" s="376"/>
      <c r="M167" s="376"/>
      <c r="N167" s="377"/>
      <c r="O167" s="173"/>
      <c r="P167" s="225"/>
      <c r="Q167" s="173"/>
      <c r="R167" s="364"/>
      <c r="S167" s="312"/>
      <c r="T167" s="207"/>
    </row>
    <row r="168" spans="2:23" ht="25.5" customHeight="1">
      <c r="B168" s="142"/>
      <c r="C168" s="142"/>
      <c r="D168" s="40"/>
      <c r="E168" s="33"/>
      <c r="F168" s="357"/>
      <c r="G168" s="358"/>
      <c r="H168" s="363"/>
      <c r="I168" s="360"/>
      <c r="N168" s="312"/>
      <c r="O168" s="207"/>
      <c r="P168" s="225"/>
    </row>
    <row r="169" spans="2:23" ht="25.5" customHeight="1">
      <c r="B169" s="30"/>
      <c r="C169" s="28"/>
      <c r="D169" s="28"/>
      <c r="E169" s="28"/>
      <c r="F169" s="337"/>
      <c r="G169" s="338"/>
      <c r="H169" s="336"/>
      <c r="I169" s="309"/>
      <c r="J169" s="309"/>
      <c r="K169" s="339"/>
      <c r="L169" s="312"/>
      <c r="M169" s="312"/>
      <c r="N169" s="312"/>
      <c r="O169" s="207"/>
      <c r="P169" s="225"/>
      <c r="Q169" s="197"/>
      <c r="R169" s="197"/>
    </row>
    <row r="170" spans="2:23" s="192" customFormat="1" ht="25.5" customHeight="1">
      <c r="B170" s="570" t="s">
        <v>250</v>
      </c>
      <c r="C170" s="570"/>
      <c r="D170" s="570"/>
      <c r="E170" s="570"/>
      <c r="F170" s="570"/>
      <c r="G170" s="570"/>
      <c r="H170" s="379"/>
      <c r="J170" s="194"/>
      <c r="K170" s="194"/>
      <c r="M170" s="195"/>
      <c r="N170" s="312"/>
      <c r="O170" s="207"/>
      <c r="P170" s="225"/>
    </row>
    <row r="171" spans="2:23" s="192" customFormat="1" ht="25.5" customHeight="1">
      <c r="B171" s="570"/>
      <c r="C171" s="570"/>
      <c r="D171" s="570"/>
      <c r="E171" s="570"/>
      <c r="F171" s="570"/>
      <c r="G171" s="570"/>
      <c r="H171" s="379"/>
      <c r="J171" s="194"/>
      <c r="K171" s="194"/>
      <c r="M171" s="195"/>
      <c r="N171" s="312"/>
      <c r="O171" s="207"/>
      <c r="P171" s="225"/>
    </row>
    <row r="172" spans="2:23" s="192" customFormat="1" ht="25.5" customHeight="1">
      <c r="B172" s="570"/>
      <c r="C172" s="570"/>
      <c r="D172" s="570"/>
      <c r="E172" s="570"/>
      <c r="F172" s="570"/>
      <c r="G172" s="570"/>
      <c r="H172" s="379"/>
      <c r="J172" s="194"/>
      <c r="K172" s="194"/>
      <c r="M172" s="195"/>
      <c r="N172" s="312"/>
      <c r="O172" s="207"/>
      <c r="P172" s="225"/>
    </row>
    <row r="173" spans="2:23" s="192" customFormat="1" ht="25.5" customHeight="1">
      <c r="B173" s="571" t="s">
        <v>218</v>
      </c>
      <c r="C173" s="571"/>
      <c r="D173" s="571"/>
      <c r="E173" s="571"/>
      <c r="F173" s="571"/>
      <c r="H173" s="379"/>
      <c r="J173" s="194"/>
      <c r="K173" s="194"/>
      <c r="M173" s="195"/>
      <c r="N173" s="312"/>
      <c r="O173" s="207"/>
      <c r="P173" s="225"/>
    </row>
    <row r="174" spans="2:23" s="192" customFormat="1" ht="25.5" customHeight="1">
      <c r="B174" s="589"/>
      <c r="C174" s="589"/>
      <c r="D174" s="589"/>
      <c r="E174" s="589"/>
      <c r="F174" s="589"/>
      <c r="G174" s="199"/>
      <c r="H174" s="200"/>
      <c r="I174" s="199"/>
      <c r="J174" s="201"/>
      <c r="K174" s="202"/>
      <c r="L174" s="199"/>
      <c r="M174" s="203"/>
      <c r="N174" s="312"/>
      <c r="O174" s="207"/>
      <c r="P174" s="225"/>
    </row>
    <row r="175" spans="2:23" s="192" customFormat="1" ht="25.5" customHeight="1">
      <c r="B175" s="145"/>
      <c r="C175" s="145"/>
      <c r="D175" s="145"/>
      <c r="E175" s="145"/>
      <c r="F175" s="205"/>
      <c r="G175" s="199"/>
      <c r="H175" s="200"/>
      <c r="I175" s="199"/>
      <c r="J175" s="201"/>
      <c r="K175" s="202"/>
      <c r="L175" s="199"/>
      <c r="M175" s="203"/>
      <c r="N175" s="312"/>
      <c r="O175" s="207"/>
      <c r="P175" s="225"/>
    </row>
    <row r="176" spans="2:23" ht="25.5" customHeight="1">
      <c r="B176" s="479" t="s">
        <v>159</v>
      </c>
      <c r="C176" s="15"/>
      <c r="D176" s="15"/>
      <c r="F176" s="218"/>
      <c r="G176" s="218"/>
      <c r="H176" s="218"/>
      <c r="I176" s="218"/>
      <c r="J176" s="218"/>
      <c r="K176" s="218"/>
      <c r="L176" s="218"/>
      <c r="M176" s="369"/>
      <c r="O176" s="309"/>
      <c r="P176" s="380"/>
      <c r="R176" s="312"/>
      <c r="S176" s="312"/>
      <c r="T176" s="207"/>
      <c r="U176" s="225"/>
      <c r="V176" s="197"/>
      <c r="W176" s="197"/>
    </row>
    <row r="177" spans="2:23" ht="25.5" customHeight="1">
      <c r="B177" s="25" t="s">
        <v>220</v>
      </c>
      <c r="C177" s="25"/>
      <c r="D177" s="25"/>
      <c r="E177" s="26" t="s">
        <v>184</v>
      </c>
      <c r="F177" s="290"/>
      <c r="G177" s="293"/>
      <c r="H177" s="293"/>
      <c r="I177" s="293"/>
      <c r="J177" s="293"/>
      <c r="K177" s="293"/>
      <c r="L177" s="350" t="s">
        <v>246</v>
      </c>
      <c r="M177" s="350"/>
      <c r="N177" s="293" t="s">
        <v>222</v>
      </c>
      <c r="O177" s="309"/>
      <c r="P177" s="380"/>
      <c r="R177" s="312"/>
      <c r="S177" s="312"/>
      <c r="T177" s="207"/>
      <c r="U177" s="225"/>
      <c r="V177" s="197"/>
      <c r="W177" s="197"/>
    </row>
    <row r="178" spans="2:23" ht="25.5" customHeight="1">
      <c r="B178" s="146" t="s">
        <v>163</v>
      </c>
      <c r="C178" s="141"/>
      <c r="D178" s="141"/>
      <c r="E178" s="32" t="s">
        <v>160</v>
      </c>
      <c r="F178" s="353"/>
      <c r="G178" s="354"/>
      <c r="H178" s="354"/>
      <c r="I178" s="354"/>
      <c r="J178" s="354"/>
      <c r="K178" s="354"/>
      <c r="L178" s="366" t="s">
        <v>25</v>
      </c>
      <c r="M178" s="366"/>
      <c r="N178" s="381">
        <v>0</v>
      </c>
      <c r="O178" s="309"/>
      <c r="P178" s="380"/>
      <c r="R178" s="312"/>
      <c r="S178" s="312"/>
      <c r="T178" s="207"/>
      <c r="U178" s="225"/>
      <c r="V178" s="197"/>
      <c r="W178" s="197"/>
    </row>
    <row r="179" spans="2:23" ht="25.5" customHeight="1">
      <c r="B179" s="149" t="s">
        <v>164</v>
      </c>
      <c r="C179" s="142"/>
      <c r="D179" s="142"/>
      <c r="E179" s="40" t="s">
        <v>161</v>
      </c>
      <c r="F179" s="357"/>
      <c r="G179" s="358"/>
      <c r="H179" s="358"/>
      <c r="I179" s="358"/>
      <c r="J179" s="358"/>
      <c r="K179" s="358"/>
      <c r="L179" s="363" t="s">
        <v>263</v>
      </c>
      <c r="M179" s="359"/>
      <c r="N179" s="515" t="s">
        <v>264</v>
      </c>
      <c r="O179" s="309"/>
      <c r="P179" s="380"/>
      <c r="R179" s="312"/>
      <c r="S179" s="312"/>
      <c r="T179" s="207"/>
      <c r="U179" s="225"/>
      <c r="V179" s="197"/>
      <c r="W179" s="197"/>
    </row>
    <row r="180" spans="2:23" ht="25.5" customHeight="1">
      <c r="B180" s="146" t="s">
        <v>165</v>
      </c>
      <c r="C180" s="141"/>
      <c r="D180" s="141"/>
      <c r="E180" s="32" t="s">
        <v>162</v>
      </c>
      <c r="F180" s="353"/>
      <c r="G180" s="354"/>
      <c r="H180" s="354"/>
      <c r="I180" s="354"/>
      <c r="J180" s="354"/>
      <c r="K180" s="354"/>
      <c r="L180" s="355" t="s">
        <v>255</v>
      </c>
      <c r="M180" s="355"/>
      <c r="N180" s="381" t="s">
        <v>212</v>
      </c>
      <c r="O180" s="309"/>
      <c r="P180" s="380"/>
      <c r="R180" s="312"/>
      <c r="S180" s="312"/>
      <c r="T180" s="207"/>
      <c r="U180" s="225"/>
      <c r="V180" s="197"/>
      <c r="W180" s="197"/>
    </row>
    <row r="181" spans="2:23" ht="25.5" customHeight="1">
      <c r="B181" s="112"/>
      <c r="C181" s="109"/>
      <c r="D181" s="109"/>
      <c r="E181" s="451" t="s">
        <v>265</v>
      </c>
      <c r="F181" s="374"/>
      <c r="G181" s="375"/>
      <c r="H181" s="375"/>
      <c r="I181" s="375"/>
      <c r="J181" s="375"/>
      <c r="K181" s="375"/>
      <c r="L181" s="376"/>
      <c r="M181" s="376"/>
      <c r="N181" s="377"/>
      <c r="O181" s="309"/>
      <c r="P181" s="339"/>
      <c r="Q181" s="312"/>
      <c r="R181" s="312"/>
      <c r="S181" s="312"/>
      <c r="T181" s="207"/>
      <c r="U181" s="225"/>
      <c r="V181" s="197"/>
      <c r="W181" s="197"/>
    </row>
    <row r="182" spans="2:23" ht="25.5" customHeight="1">
      <c r="B182" s="149"/>
      <c r="C182" s="142"/>
      <c r="D182" s="142"/>
      <c r="E182" s="40"/>
      <c r="F182" s="357"/>
      <c r="G182" s="358"/>
      <c r="H182" s="358"/>
      <c r="I182" s="358"/>
      <c r="J182" s="358"/>
      <c r="K182" s="358"/>
      <c r="L182" s="363"/>
      <c r="M182" s="363"/>
      <c r="N182" s="360"/>
      <c r="O182" s="309"/>
      <c r="P182" s="339"/>
      <c r="Q182" s="312"/>
      <c r="R182" s="312"/>
      <c r="S182" s="312"/>
      <c r="T182" s="207"/>
      <c r="U182" s="225"/>
      <c r="V182" s="197"/>
      <c r="W182" s="197"/>
    </row>
    <row r="183" spans="2:23" ht="25.5" customHeight="1">
      <c r="B183" s="479" t="s">
        <v>251</v>
      </c>
      <c r="C183" s="15"/>
      <c r="D183" s="15"/>
      <c r="E183" s="15"/>
      <c r="F183" s="218"/>
      <c r="G183" s="218"/>
      <c r="H183" s="218"/>
      <c r="I183" s="218"/>
      <c r="J183" s="218"/>
      <c r="K183" s="218"/>
      <c r="L183" s="369"/>
      <c r="M183" s="369"/>
      <c r="O183" s="309"/>
      <c r="P183" s="380"/>
      <c r="R183" s="312"/>
      <c r="S183" s="312"/>
      <c r="T183" s="207"/>
      <c r="U183" s="225"/>
      <c r="V183" s="197"/>
      <c r="W183" s="197"/>
    </row>
    <row r="184" spans="2:23" ht="25.5" customHeight="1">
      <c r="B184" s="25" t="s">
        <v>220</v>
      </c>
      <c r="C184" s="25"/>
      <c r="D184" s="25"/>
      <c r="E184" s="26" t="s">
        <v>184</v>
      </c>
      <c r="F184" s="290"/>
      <c r="G184" s="293"/>
      <c r="H184" s="293"/>
      <c r="I184" s="293"/>
      <c r="J184" s="293"/>
      <c r="K184" s="293"/>
      <c r="L184" s="350" t="s">
        <v>246</v>
      </c>
      <c r="M184" s="350"/>
      <c r="N184" s="293" t="s">
        <v>222</v>
      </c>
      <c r="O184" s="309"/>
      <c r="P184" s="380"/>
      <c r="R184" s="312"/>
      <c r="S184" s="312"/>
      <c r="T184" s="207"/>
      <c r="U184" s="225"/>
      <c r="V184" s="197"/>
      <c r="W184" s="197"/>
    </row>
    <row r="185" spans="2:23" ht="25.5" customHeight="1">
      <c r="B185" s="146" t="s">
        <v>205</v>
      </c>
      <c r="C185" s="141"/>
      <c r="D185" s="141"/>
      <c r="E185" s="32" t="s">
        <v>141</v>
      </c>
      <c r="F185" s="353"/>
      <c r="G185" s="354"/>
      <c r="H185" s="354"/>
      <c r="I185" s="354"/>
      <c r="J185" s="354"/>
      <c r="K185" s="354"/>
      <c r="L185" s="355" t="s">
        <v>255</v>
      </c>
      <c r="M185" s="355"/>
      <c r="N185" s="481">
        <f>PS_consult.jun_EUR</f>
        <v>106.747186</v>
      </c>
      <c r="O185" s="309"/>
      <c r="P185" s="380"/>
      <c r="R185" s="312"/>
      <c r="S185" s="312"/>
      <c r="T185" s="207"/>
      <c r="U185" s="225"/>
      <c r="V185" s="197"/>
      <c r="W185" s="197"/>
    </row>
    <row r="186" spans="2:23" ht="25.5" customHeight="1">
      <c r="B186" s="149" t="s">
        <v>206</v>
      </c>
      <c r="C186" s="142"/>
      <c r="D186" s="142"/>
      <c r="E186" s="40" t="s">
        <v>142</v>
      </c>
      <c r="F186" s="357"/>
      <c r="G186" s="358"/>
      <c r="H186" s="358"/>
      <c r="I186" s="358"/>
      <c r="J186" s="358"/>
      <c r="K186" s="358"/>
      <c r="L186" s="363" t="s">
        <v>255</v>
      </c>
      <c r="M186" s="363"/>
      <c r="N186" s="482">
        <f>PS_consult.sen_EUR</f>
        <v>130.14253199999999</v>
      </c>
      <c r="O186" s="309"/>
      <c r="P186" s="380"/>
      <c r="R186" s="312"/>
      <c r="S186" s="312"/>
      <c r="T186" s="207"/>
      <c r="U186" s="225"/>
      <c r="V186" s="197"/>
      <c r="W186" s="197"/>
    </row>
    <row r="187" spans="2:23" ht="25.5" customHeight="1">
      <c r="B187" s="146" t="s">
        <v>207</v>
      </c>
      <c r="C187" s="141"/>
      <c r="D187" s="141"/>
      <c r="E187" s="32" t="s">
        <v>143</v>
      </c>
      <c r="F187" s="353"/>
      <c r="G187" s="354"/>
      <c r="H187" s="354"/>
      <c r="I187" s="354"/>
      <c r="J187" s="354"/>
      <c r="K187" s="354"/>
      <c r="L187" s="355" t="s">
        <v>255</v>
      </c>
      <c r="M187" s="355"/>
      <c r="N187" s="481">
        <f>PS_cloudarch.jun_EUR</f>
        <v>120.954886</v>
      </c>
      <c r="O187" s="309"/>
      <c r="P187" s="380"/>
      <c r="R187" s="312"/>
      <c r="S187" s="312"/>
      <c r="T187" s="207"/>
      <c r="U187" s="225"/>
      <c r="V187" s="197"/>
      <c r="W187" s="197"/>
    </row>
    <row r="188" spans="2:23" ht="25.5" customHeight="1">
      <c r="B188" s="149" t="s">
        <v>208</v>
      </c>
      <c r="C188" s="142"/>
      <c r="D188" s="142"/>
      <c r="E188" s="40" t="s">
        <v>144</v>
      </c>
      <c r="F188" s="373"/>
      <c r="G188" s="358"/>
      <c r="H188" s="358"/>
      <c r="I188" s="358"/>
      <c r="J188" s="358"/>
      <c r="K188" s="358"/>
      <c r="L188" s="363" t="s">
        <v>255</v>
      </c>
      <c r="M188" s="363"/>
      <c r="N188" s="482">
        <f>PS_cloudarch.sen_EUR</f>
        <v>130.14253199999999</v>
      </c>
      <c r="O188" s="309"/>
      <c r="P188" s="380"/>
      <c r="R188" s="312"/>
      <c r="S188" s="312"/>
      <c r="T188" s="207"/>
      <c r="U188" s="225"/>
      <c r="V188" s="197"/>
      <c r="W188" s="197"/>
    </row>
    <row r="189" spans="2:23" ht="25.5" customHeight="1">
      <c r="B189" s="146" t="s">
        <v>209</v>
      </c>
      <c r="C189" s="141"/>
      <c r="D189" s="141"/>
      <c r="E189" s="32" t="s">
        <v>145</v>
      </c>
      <c r="F189" s="353"/>
      <c r="G189" s="354"/>
      <c r="H189" s="354"/>
      <c r="I189" s="354"/>
      <c r="J189" s="354"/>
      <c r="K189" s="354"/>
      <c r="L189" s="355" t="s">
        <v>255</v>
      </c>
      <c r="M189" s="355"/>
      <c r="N189" s="481">
        <f>PS_pm.jun_EUR</f>
        <v>107.883802</v>
      </c>
      <c r="O189" s="309"/>
      <c r="P189" s="380"/>
      <c r="R189" s="312"/>
      <c r="S189" s="312"/>
      <c r="T189" s="207"/>
      <c r="U189" s="225"/>
      <c r="V189" s="197"/>
      <c r="W189" s="197"/>
    </row>
    <row r="190" spans="2:23" ht="25.5" customHeight="1">
      <c r="B190" s="149" t="s">
        <v>210</v>
      </c>
      <c r="C190" s="142"/>
      <c r="D190" s="142"/>
      <c r="E190" s="40" t="s">
        <v>146</v>
      </c>
      <c r="F190" s="357"/>
      <c r="G190" s="358"/>
      <c r="H190" s="358"/>
      <c r="I190" s="358"/>
      <c r="J190" s="358"/>
      <c r="K190" s="358"/>
      <c r="L190" s="363" t="s">
        <v>255</v>
      </c>
      <c r="M190" s="363"/>
      <c r="N190" s="482">
        <f>PS_pm.sen_EUR</f>
        <v>130.14253199999999</v>
      </c>
      <c r="O190" s="309"/>
      <c r="P190" s="380"/>
      <c r="R190" s="312"/>
      <c r="S190" s="312"/>
      <c r="T190" s="207"/>
      <c r="U190" s="225"/>
      <c r="V190" s="197"/>
      <c r="W190" s="197"/>
    </row>
    <row r="191" spans="2:23" ht="25.5" customHeight="1">
      <c r="B191" s="112"/>
      <c r="C191" s="109"/>
      <c r="D191" s="109"/>
      <c r="E191" s="451"/>
      <c r="F191" s="374"/>
      <c r="G191" s="375"/>
      <c r="H191" s="375"/>
      <c r="I191" s="375"/>
      <c r="J191" s="375"/>
      <c r="K191" s="375"/>
      <c r="L191" s="376"/>
      <c r="M191" s="376"/>
      <c r="N191" s="377"/>
      <c r="O191" s="309"/>
      <c r="P191" s="339"/>
      <c r="Q191" s="312"/>
      <c r="R191" s="312"/>
      <c r="S191" s="312"/>
      <c r="T191" s="207"/>
      <c r="U191" s="225"/>
      <c r="V191" s="197"/>
      <c r="W191" s="197"/>
    </row>
    <row r="192" spans="2:23" ht="25.5" customHeight="1">
      <c r="B192" s="149"/>
      <c r="C192" s="142"/>
      <c r="D192" s="142"/>
      <c r="E192" s="40"/>
      <c r="F192" s="357"/>
      <c r="G192" s="358"/>
      <c r="H192" s="358"/>
      <c r="I192" s="358"/>
      <c r="J192" s="358"/>
      <c r="K192" s="358"/>
      <c r="L192" s="363"/>
      <c r="M192" s="363"/>
      <c r="N192" s="360"/>
      <c r="O192" s="173"/>
      <c r="P192" s="209"/>
      <c r="Q192" s="173"/>
      <c r="R192" s="364"/>
      <c r="S192" s="312"/>
      <c r="T192" s="207"/>
      <c r="U192" s="225"/>
    </row>
    <row r="193" spans="1:23" ht="25.5" customHeight="1">
      <c r="B193" s="479" t="s">
        <v>149</v>
      </c>
      <c r="C193" s="15"/>
      <c r="D193" s="15"/>
      <c r="E193" s="15"/>
      <c r="F193" s="218"/>
      <c r="G193" s="218"/>
      <c r="H193" s="218"/>
      <c r="I193" s="218"/>
      <c r="J193" s="218"/>
      <c r="K193" s="218"/>
      <c r="L193" s="369"/>
      <c r="M193" s="369"/>
      <c r="O193" s="309"/>
      <c r="P193" s="380"/>
      <c r="R193" s="312"/>
      <c r="S193" s="312"/>
      <c r="T193" s="207"/>
      <c r="U193" s="225"/>
      <c r="V193" s="197"/>
      <c r="W193" s="197"/>
    </row>
    <row r="194" spans="1:23" ht="25.5" customHeight="1">
      <c r="B194" s="25" t="s">
        <v>220</v>
      </c>
      <c r="C194" s="350" t="s">
        <v>252</v>
      </c>
      <c r="D194" s="350"/>
      <c r="E194" s="26" t="s">
        <v>184</v>
      </c>
      <c r="F194" s="290"/>
      <c r="G194" s="350"/>
      <c r="H194" s="350"/>
      <c r="I194" s="350"/>
      <c r="J194" s="350"/>
      <c r="K194" s="350"/>
      <c r="L194" s="350" t="s">
        <v>246</v>
      </c>
      <c r="M194" s="350"/>
      <c r="N194" s="293" t="s">
        <v>253</v>
      </c>
      <c r="O194" s="309"/>
      <c r="P194" s="380"/>
      <c r="R194" s="312"/>
      <c r="S194" s="312"/>
      <c r="T194" s="207"/>
      <c r="U194" s="225"/>
      <c r="V194" s="197"/>
      <c r="W194" s="197"/>
    </row>
    <row r="195" spans="1:23" ht="25.5" customHeight="1">
      <c r="B195" s="146" t="s">
        <v>201</v>
      </c>
      <c r="C195" s="355" t="s">
        <v>305</v>
      </c>
      <c r="D195" s="355"/>
      <c r="E195" s="32" t="s">
        <v>307</v>
      </c>
      <c r="F195" s="353"/>
      <c r="G195" s="355"/>
      <c r="H195" s="355"/>
      <c r="I195" s="355"/>
      <c r="J195" s="355"/>
      <c r="K195" s="355"/>
      <c r="L195" s="355" t="s">
        <v>254</v>
      </c>
      <c r="M195" s="355"/>
      <c r="N195" s="381" t="s">
        <v>212</v>
      </c>
      <c r="O195" s="309"/>
      <c r="P195" s="380"/>
      <c r="R195" s="312"/>
      <c r="S195" s="312"/>
      <c r="T195" s="207"/>
      <c r="U195" s="225"/>
      <c r="V195" s="197"/>
      <c r="W195" s="197"/>
    </row>
    <row r="196" spans="1:23" ht="25.5" customHeight="1">
      <c r="B196" s="149" t="s">
        <v>202</v>
      </c>
      <c r="C196" s="363" t="s">
        <v>305</v>
      </c>
      <c r="D196" s="363"/>
      <c r="E196" s="40" t="s">
        <v>308</v>
      </c>
      <c r="F196" s="357"/>
      <c r="G196" s="363"/>
      <c r="H196" s="363"/>
      <c r="I196" s="363"/>
      <c r="J196" s="363"/>
      <c r="K196" s="363"/>
      <c r="L196" s="363" t="s">
        <v>254</v>
      </c>
      <c r="M196" s="363"/>
      <c r="N196" s="382" t="s">
        <v>212</v>
      </c>
      <c r="O196" s="309"/>
      <c r="P196" s="380"/>
      <c r="R196" s="312"/>
      <c r="S196" s="312"/>
      <c r="T196" s="207"/>
      <c r="U196" s="225"/>
      <c r="V196" s="197"/>
      <c r="W196" s="197"/>
    </row>
    <row r="197" spans="1:23" ht="25.5" customHeight="1">
      <c r="B197" s="146" t="s">
        <v>203</v>
      </c>
      <c r="C197" s="355" t="s">
        <v>306</v>
      </c>
      <c r="D197" s="355"/>
      <c r="E197" s="32" t="s">
        <v>309</v>
      </c>
      <c r="F197" s="353"/>
      <c r="G197" s="355"/>
      <c r="H197" s="355"/>
      <c r="I197" s="355"/>
      <c r="J197" s="355"/>
      <c r="K197" s="355"/>
      <c r="L197" s="355" t="s">
        <v>254</v>
      </c>
      <c r="M197" s="355"/>
      <c r="N197" s="381" t="s">
        <v>212</v>
      </c>
      <c r="O197" s="309"/>
      <c r="P197" s="380"/>
      <c r="R197" s="312"/>
      <c r="S197" s="312"/>
      <c r="T197" s="207"/>
      <c r="U197" s="225"/>
      <c r="V197" s="197"/>
      <c r="W197" s="197"/>
    </row>
    <row r="198" spans="1:23" ht="25.5" customHeight="1">
      <c r="B198" s="149" t="s">
        <v>204</v>
      </c>
      <c r="C198" s="363" t="s">
        <v>306</v>
      </c>
      <c r="D198" s="363"/>
      <c r="E198" s="40" t="s">
        <v>310</v>
      </c>
      <c r="F198" s="357"/>
      <c r="G198" s="363"/>
      <c r="H198" s="363"/>
      <c r="I198" s="363"/>
      <c r="J198" s="363"/>
      <c r="K198" s="363"/>
      <c r="L198" s="363" t="s">
        <v>254</v>
      </c>
      <c r="M198" s="363"/>
      <c r="N198" s="382" t="s">
        <v>212</v>
      </c>
      <c r="O198" s="309"/>
      <c r="P198" s="380"/>
      <c r="R198" s="312"/>
      <c r="S198" s="312"/>
      <c r="T198" s="207"/>
      <c r="U198" s="225"/>
      <c r="V198" s="197"/>
      <c r="W198" s="197"/>
    </row>
    <row r="199" spans="1:23" ht="25.5" customHeight="1">
      <c r="B199" s="112"/>
      <c r="C199" s="109"/>
      <c r="D199" s="109"/>
      <c r="E199" s="111"/>
      <c r="F199" s="374"/>
      <c r="G199" s="375"/>
      <c r="H199" s="375"/>
      <c r="I199" s="377"/>
      <c r="J199" s="377"/>
      <c r="K199" s="377"/>
      <c r="L199" s="377"/>
      <c r="M199" s="377"/>
      <c r="N199" s="377"/>
      <c r="O199" s="207"/>
      <c r="P199" s="225"/>
      <c r="Q199" s="197"/>
      <c r="R199" s="197"/>
    </row>
    <row r="200" spans="1:23" ht="25.5" customHeight="1">
      <c r="B200" s="480"/>
      <c r="C200" s="28"/>
      <c r="D200" s="28"/>
      <c r="E200" s="28"/>
      <c r="F200" s="337"/>
      <c r="G200" s="338"/>
      <c r="H200" s="309"/>
      <c r="I200" s="309"/>
      <c r="J200" s="309"/>
      <c r="K200" s="339"/>
      <c r="L200" s="312"/>
      <c r="M200" s="312"/>
      <c r="N200" s="312"/>
      <c r="O200" s="207"/>
      <c r="P200" s="225"/>
      <c r="Q200" s="197"/>
      <c r="R200" s="197"/>
    </row>
    <row r="201" spans="1:23" ht="25.5" customHeight="1">
      <c r="A201" s="383"/>
      <c r="B201" s="68"/>
      <c r="C201" s="62"/>
      <c r="D201" s="62"/>
      <c r="E201" s="62"/>
      <c r="F201" s="384"/>
      <c r="G201" s="385"/>
      <c r="H201" s="386"/>
      <c r="I201" s="386"/>
      <c r="J201" s="386"/>
      <c r="K201" s="387"/>
      <c r="L201" s="388"/>
      <c r="M201" s="388"/>
      <c r="N201" s="388"/>
      <c r="O201" s="389"/>
      <c r="P201" s="225"/>
      <c r="Q201" s="197"/>
      <c r="R201" s="197"/>
    </row>
    <row r="202" spans="1:23" s="192" customFormat="1" ht="25.5" customHeight="1">
      <c r="A202" s="174"/>
      <c r="B202" s="56"/>
      <c r="C202" s="56"/>
      <c r="D202" s="56"/>
      <c r="E202" s="56"/>
      <c r="F202" s="390"/>
      <c r="G202" s="391"/>
      <c r="H202" s="392"/>
      <c r="I202" s="392"/>
      <c r="J202" s="392"/>
      <c r="K202" s="393"/>
      <c r="L202" s="394"/>
      <c r="M202" s="394"/>
      <c r="N202" s="394"/>
      <c r="O202" s="174"/>
      <c r="P202" s="196"/>
    </row>
    <row r="203" spans="1:23" s="192" customFormat="1" ht="25.5" customHeight="1">
      <c r="A203" s="174"/>
      <c r="B203" s="56"/>
      <c r="C203" s="56"/>
      <c r="D203" s="56"/>
      <c r="E203" s="56"/>
      <c r="F203" s="390"/>
      <c r="G203" s="391"/>
      <c r="H203" s="392"/>
      <c r="I203" s="392"/>
      <c r="J203" s="392"/>
      <c r="K203" s="393"/>
      <c r="L203" s="394"/>
      <c r="M203" s="394"/>
      <c r="N203" s="394"/>
      <c r="O203" s="174"/>
      <c r="P203" s="196"/>
    </row>
    <row r="204" spans="1:23" s="192" customFormat="1" ht="25.5" customHeight="1">
      <c r="A204" s="174"/>
      <c r="B204" s="56"/>
      <c r="C204" s="56"/>
      <c r="D204" s="56"/>
      <c r="E204" s="56"/>
      <c r="F204" s="390"/>
      <c r="G204" s="391"/>
      <c r="H204" s="392"/>
      <c r="I204" s="392"/>
      <c r="J204" s="392"/>
      <c r="K204" s="393"/>
      <c r="L204" s="394"/>
      <c r="M204" s="394"/>
      <c r="N204" s="394"/>
      <c r="O204" s="174"/>
      <c r="P204" s="196"/>
    </row>
    <row r="205" spans="1:23" s="192" customFormat="1" ht="25.5" customHeight="1">
      <c r="A205" s="174"/>
      <c r="B205" s="607" t="s">
        <v>256</v>
      </c>
      <c r="C205" s="607"/>
      <c r="D205" s="607"/>
      <c r="E205" s="607"/>
      <c r="F205" s="607"/>
      <c r="G205" s="607"/>
      <c r="H205" s="177"/>
      <c r="I205" s="174"/>
      <c r="J205" s="178"/>
      <c r="K205" s="178"/>
      <c r="L205" s="174"/>
      <c r="M205" s="179"/>
      <c r="N205" s="179"/>
      <c r="O205" s="174"/>
      <c r="P205" s="196"/>
    </row>
    <row r="206" spans="1:23" s="192" customFormat="1" ht="25.5" customHeight="1">
      <c r="A206" s="174"/>
      <c r="B206" s="607"/>
      <c r="C206" s="607"/>
      <c r="D206" s="607"/>
      <c r="E206" s="607"/>
      <c r="F206" s="607"/>
      <c r="G206" s="607"/>
      <c r="H206" s="177"/>
      <c r="I206" s="174"/>
      <c r="J206" s="178"/>
      <c r="K206" s="178"/>
      <c r="L206" s="174"/>
      <c r="M206" s="179"/>
      <c r="N206" s="179"/>
      <c r="O206" s="174"/>
      <c r="P206" s="196"/>
    </row>
    <row r="207" spans="1:23" s="192" customFormat="1" ht="25.5" customHeight="1">
      <c r="A207" s="174"/>
      <c r="B207" s="607"/>
      <c r="C207" s="607"/>
      <c r="D207" s="607"/>
      <c r="E207" s="607"/>
      <c r="F207" s="607"/>
      <c r="G207" s="607"/>
      <c r="H207" s="177"/>
      <c r="I207" s="174"/>
      <c r="J207" s="178"/>
      <c r="K207" s="178"/>
      <c r="L207" s="174"/>
      <c r="M207" s="179"/>
      <c r="N207" s="179"/>
      <c r="O207" s="174"/>
      <c r="P207" s="196"/>
    </row>
    <row r="208" spans="1:23" s="192" customFormat="1" ht="25.5" customHeight="1">
      <c r="A208" s="174"/>
      <c r="B208" s="608" t="s">
        <v>218</v>
      </c>
      <c r="C208" s="608"/>
      <c r="D208" s="608"/>
      <c r="E208" s="608"/>
      <c r="F208" s="608"/>
      <c r="G208" s="174"/>
      <c r="H208" s="177"/>
      <c r="I208" s="174"/>
      <c r="J208" s="178"/>
      <c r="K208" s="178"/>
      <c r="L208" s="174"/>
      <c r="M208" s="179"/>
      <c r="N208" s="179"/>
      <c r="O208" s="395"/>
      <c r="P208" s="204"/>
    </row>
    <row r="209" spans="1:23" s="192" customFormat="1" ht="25.5" customHeight="1">
      <c r="A209" s="174"/>
      <c r="B209" s="64"/>
      <c r="C209" s="64"/>
      <c r="D209" s="64"/>
      <c r="E209" s="64"/>
      <c r="F209" s="175"/>
      <c r="G209" s="174"/>
      <c r="H209" s="177"/>
      <c r="I209" s="174"/>
      <c r="J209" s="178"/>
      <c r="K209" s="178"/>
      <c r="L209" s="174"/>
      <c r="M209" s="179"/>
      <c r="N209" s="179"/>
      <c r="O209" s="395"/>
      <c r="P209" s="204"/>
    </row>
    <row r="210" spans="1:23" s="192" customFormat="1" ht="25.5" customHeight="1">
      <c r="A210" s="174"/>
      <c r="B210" s="487" t="s">
        <v>257</v>
      </c>
      <c r="C210" s="64"/>
      <c r="D210" s="64"/>
      <c r="E210" s="64"/>
      <c r="F210" s="175"/>
      <c r="G210" s="174"/>
      <c r="H210" s="177"/>
      <c r="I210" s="174"/>
      <c r="J210" s="178"/>
      <c r="K210" s="178"/>
      <c r="L210" s="174"/>
      <c r="M210" s="179"/>
      <c r="N210" s="179"/>
      <c r="O210" s="395"/>
      <c r="P210" s="204"/>
    </row>
    <row r="211" spans="1:23" s="192" customFormat="1" ht="25.5" customHeight="1">
      <c r="A211" s="174"/>
      <c r="B211" s="483" t="s">
        <v>312</v>
      </c>
      <c r="C211" s="64"/>
      <c r="D211" s="64"/>
      <c r="E211" s="64"/>
      <c r="F211" s="175"/>
      <c r="G211" s="174"/>
      <c r="H211" s="177"/>
      <c r="I211" s="174"/>
      <c r="J211" s="178"/>
      <c r="K211" s="178"/>
      <c r="L211" s="174"/>
      <c r="M211" s="179"/>
      <c r="N211" s="179"/>
      <c r="O211" s="395"/>
      <c r="P211" s="204"/>
    </row>
    <row r="212" spans="1:23" s="192" customFormat="1" ht="25.5" customHeight="1">
      <c r="A212" s="174"/>
      <c r="B212" s="71" t="s">
        <v>2</v>
      </c>
      <c r="C212" s="69"/>
      <c r="D212" s="69"/>
      <c r="E212" s="69"/>
      <c r="F212" s="396"/>
      <c r="G212" s="395"/>
      <c r="H212" s="397"/>
      <c r="I212" s="395"/>
      <c r="J212" s="398"/>
      <c r="K212" s="399"/>
      <c r="L212" s="395"/>
      <c r="M212" s="400"/>
      <c r="N212" s="400"/>
      <c r="O212" s="395"/>
      <c r="P212" s="204"/>
    </row>
    <row r="213" spans="1:23" s="267" customFormat="1" ht="25.5" customHeight="1">
      <c r="A213" s="401"/>
      <c r="B213" s="147"/>
      <c r="C213" s="147"/>
      <c r="D213" s="147"/>
      <c r="E213" s="147"/>
      <c r="F213" s="402"/>
      <c r="G213" s="395"/>
      <c r="H213" s="397"/>
      <c r="I213" s="395"/>
      <c r="J213" s="398"/>
      <c r="K213" s="399"/>
      <c r="L213" s="395"/>
      <c r="M213" s="400"/>
      <c r="N213" s="400"/>
      <c r="O213" s="401"/>
      <c r="P213" s="328"/>
      <c r="Q213" s="403"/>
      <c r="R213" s="295"/>
      <c r="S213" s="295"/>
      <c r="T213" s="295"/>
      <c r="U213" s="295"/>
      <c r="V213" s="295"/>
      <c r="W213" s="295"/>
    </row>
    <row r="214" spans="1:23" ht="25.5" customHeight="1">
      <c r="A214" s="404"/>
      <c r="B214" s="57" t="s">
        <v>258</v>
      </c>
      <c r="C214" s="58"/>
      <c r="D214" s="59"/>
      <c r="E214" s="58"/>
      <c r="F214" s="406"/>
      <c r="G214" s="406"/>
      <c r="H214" s="406"/>
      <c r="I214" s="406"/>
      <c r="J214" s="406"/>
      <c r="K214" s="405"/>
      <c r="L214" s="405"/>
      <c r="M214" s="406" t="s">
        <v>259</v>
      </c>
      <c r="N214" s="407"/>
      <c r="O214" s="408"/>
      <c r="P214" s="211"/>
      <c r="Q214" s="349"/>
    </row>
    <row r="215" spans="1:23" ht="25.5" customHeight="1">
      <c r="A215" s="404"/>
      <c r="B215" s="609" t="s">
        <v>43</v>
      </c>
      <c r="C215" s="609"/>
      <c r="D215" s="72"/>
      <c r="E215" s="73"/>
      <c r="F215" s="409"/>
      <c r="G215" s="410"/>
      <c r="H215" s="410"/>
      <c r="I215" s="410"/>
      <c r="J215" s="410"/>
      <c r="K215" s="411"/>
      <c r="L215" s="411"/>
      <c r="M215" s="484">
        <f>M69+M77+M60+M36+N84</f>
        <v>0</v>
      </c>
      <c r="N215" s="301"/>
      <c r="O215" s="404"/>
      <c r="P215" s="211"/>
      <c r="Q215" s="349"/>
    </row>
    <row r="216" spans="1:23" ht="25.5" customHeight="1">
      <c r="A216" s="404"/>
      <c r="B216" s="604" t="s">
        <v>44</v>
      </c>
      <c r="C216" s="604"/>
      <c r="D216" s="74"/>
      <c r="E216" s="75"/>
      <c r="F216" s="413"/>
      <c r="G216" s="414"/>
      <c r="H216" s="414"/>
      <c r="I216" s="414"/>
      <c r="J216" s="414"/>
      <c r="K216" s="415"/>
      <c r="L216" s="415"/>
      <c r="M216" s="485">
        <f>N105</f>
        <v>0</v>
      </c>
      <c r="N216" s="301"/>
      <c r="O216" s="404"/>
      <c r="P216" s="211"/>
      <c r="Q216" s="349"/>
    </row>
    <row r="217" spans="1:23" ht="25.5" customHeight="1">
      <c r="A217" s="404"/>
      <c r="B217" s="148" t="s">
        <v>45</v>
      </c>
      <c r="C217" s="148"/>
      <c r="D217" s="74"/>
      <c r="E217" s="75"/>
      <c r="F217" s="413"/>
      <c r="G217" s="414"/>
      <c r="H217" s="414"/>
      <c r="I217" s="414"/>
      <c r="J217" s="414"/>
      <c r="K217" s="415"/>
      <c r="L217" s="415"/>
      <c r="M217" s="485">
        <f>N120</f>
        <v>0</v>
      </c>
      <c r="N217" s="301"/>
      <c r="O217" s="404"/>
      <c r="P217" s="211"/>
      <c r="Q217" s="349"/>
    </row>
    <row r="218" spans="1:23" s="420" customFormat="1" ht="25.5" customHeight="1">
      <c r="A218" s="417"/>
      <c r="B218" s="605" t="s">
        <v>46</v>
      </c>
      <c r="C218" s="605"/>
      <c r="D218" s="35"/>
      <c r="E218" s="36"/>
      <c r="F218" s="346"/>
      <c r="G218" s="418"/>
      <c r="H218" s="418"/>
      <c r="I218" s="418"/>
      <c r="J218" s="418"/>
      <c r="K218" s="331"/>
      <c r="L218" s="331"/>
      <c r="M218" s="471">
        <f>N69+N77+N60+N36</f>
        <v>0</v>
      </c>
      <c r="N218" s="301"/>
      <c r="O218" s="417"/>
      <c r="P218" s="419"/>
    </row>
    <row r="219" spans="1:23" ht="25.5" customHeight="1">
      <c r="A219" s="404"/>
      <c r="B219" s="486" t="s">
        <v>226</v>
      </c>
      <c r="C219" s="61"/>
      <c r="D219" s="61"/>
      <c r="E219" s="61"/>
      <c r="F219" s="421"/>
      <c r="G219" s="422"/>
      <c r="H219" s="422"/>
      <c r="I219" s="422"/>
      <c r="J219" s="606">
        <f>SUM(M215:M218)</f>
        <v>0</v>
      </c>
      <c r="K219" s="606"/>
      <c r="L219" s="606"/>
      <c r="M219" s="606"/>
      <c r="N219" s="423"/>
      <c r="O219" s="404"/>
      <c r="P219" s="211"/>
    </row>
    <row r="220" spans="1:23" ht="25.5" customHeight="1">
      <c r="A220" s="404"/>
      <c r="B220" s="60"/>
      <c r="C220" s="61"/>
      <c r="D220" s="61"/>
      <c r="E220" s="61"/>
      <c r="F220" s="421"/>
      <c r="G220" s="422"/>
      <c r="H220" s="422"/>
      <c r="I220" s="422"/>
      <c r="J220" s="423"/>
      <c r="K220" s="423"/>
      <c r="L220" s="423"/>
      <c r="M220" s="423"/>
      <c r="N220" s="423"/>
      <c r="O220" s="404"/>
      <c r="P220" s="211"/>
    </row>
    <row r="221" spans="1:23" ht="25.5" customHeight="1">
      <c r="A221" s="404"/>
      <c r="B221" s="32"/>
      <c r="C221" s="32"/>
      <c r="D221" s="38"/>
      <c r="E221" s="39"/>
      <c r="F221" s="354"/>
      <c r="G221" s="356"/>
      <c r="H221" s="353"/>
      <c r="I221" s="299"/>
      <c r="J221" s="424"/>
      <c r="K221" s="299"/>
      <c r="L221" s="425"/>
      <c r="M221" s="301"/>
      <c r="N221" s="301"/>
      <c r="O221" s="404"/>
      <c r="P221" s="211"/>
    </row>
    <row r="222" spans="1:23" ht="25.5" customHeight="1">
      <c r="A222" s="426"/>
      <c r="B222" s="44"/>
      <c r="C222" s="44"/>
      <c r="D222" s="35"/>
      <c r="E222" s="36"/>
      <c r="F222" s="428"/>
      <c r="G222" s="418"/>
      <c r="H222" s="427"/>
      <c r="I222" s="331"/>
      <c r="J222" s="429"/>
      <c r="K222" s="331"/>
      <c r="L222" s="430"/>
      <c r="M222" s="334"/>
      <c r="N222" s="334"/>
      <c r="O222" s="431"/>
      <c r="P222" s="211"/>
    </row>
    <row r="223" spans="1:23" s="432" customFormat="1" ht="24" customHeight="1">
      <c r="B223" s="115"/>
      <c r="C223" s="115"/>
      <c r="D223" s="116"/>
      <c r="E223" s="117"/>
      <c r="F223" s="434"/>
      <c r="G223" s="435"/>
      <c r="H223" s="433"/>
      <c r="I223" s="436"/>
      <c r="J223" s="437"/>
      <c r="K223" s="436"/>
      <c r="L223" s="438"/>
      <c r="M223" s="439"/>
      <c r="N223" s="439"/>
      <c r="O223" s="440"/>
    </row>
    <row r="224" spans="1:23" s="432" customFormat="1" ht="24" customHeight="1">
      <c r="B224" s="115"/>
      <c r="C224" s="115"/>
      <c r="D224" s="115"/>
      <c r="E224" s="115"/>
      <c r="F224" s="441"/>
      <c r="G224" s="442"/>
      <c r="H224" s="443"/>
      <c r="I224" s="443"/>
      <c r="J224" s="443"/>
      <c r="K224" s="444"/>
      <c r="L224" s="439"/>
      <c r="M224" s="439"/>
      <c r="N224" s="439"/>
      <c r="O224" s="440"/>
    </row>
    <row r="225" spans="1:23" s="432" customFormat="1" ht="24" customHeight="1">
      <c r="B225" s="115"/>
      <c r="C225" s="115"/>
      <c r="D225" s="115"/>
      <c r="E225" s="115"/>
      <c r="F225" s="441"/>
      <c r="G225" s="442"/>
      <c r="H225" s="443"/>
      <c r="I225" s="443"/>
      <c r="J225" s="443"/>
      <c r="K225" s="444"/>
      <c r="L225" s="439"/>
      <c r="M225" s="439"/>
      <c r="N225" s="439"/>
      <c r="O225" s="440"/>
    </row>
    <row r="226" spans="1:23" s="432" customFormat="1" ht="24" customHeight="1">
      <c r="B226" s="115"/>
      <c r="C226" s="115"/>
      <c r="D226" s="115"/>
      <c r="E226" s="115"/>
      <c r="F226" s="441"/>
      <c r="G226" s="442"/>
      <c r="H226" s="443"/>
      <c r="I226" s="443"/>
      <c r="J226" s="443"/>
      <c r="K226" s="444"/>
      <c r="L226" s="439"/>
      <c r="M226" s="439"/>
      <c r="N226" s="439"/>
      <c r="O226" s="440"/>
    </row>
    <row r="227" spans="1:23" s="432" customFormat="1" ht="24" customHeight="1">
      <c r="B227" s="115"/>
      <c r="C227" s="115"/>
      <c r="D227" s="115"/>
      <c r="E227" s="115"/>
      <c r="F227" s="441"/>
      <c r="G227" s="442"/>
      <c r="H227" s="443"/>
      <c r="I227" s="443"/>
      <c r="J227" s="443"/>
      <c r="K227" s="444"/>
      <c r="L227" s="439"/>
      <c r="M227" s="439"/>
      <c r="N227" s="439"/>
      <c r="O227" s="440"/>
    </row>
    <row r="228" spans="1:23" s="432" customFormat="1" ht="24" customHeight="1">
      <c r="B228" s="115"/>
      <c r="C228" s="115"/>
      <c r="D228" s="115"/>
      <c r="E228" s="115"/>
      <c r="F228" s="441"/>
      <c r="G228" s="442"/>
      <c r="H228" s="443"/>
      <c r="I228" s="443"/>
      <c r="J228" s="443"/>
      <c r="K228" s="444"/>
      <c r="L228" s="439"/>
      <c r="M228" s="439"/>
      <c r="N228" s="439"/>
      <c r="O228" s="440"/>
    </row>
    <row r="229" spans="1:23" s="432" customFormat="1" ht="24" customHeight="1">
      <c r="B229" s="115"/>
      <c r="C229" s="115"/>
      <c r="D229" s="115"/>
      <c r="E229" s="115"/>
      <c r="F229" s="441"/>
      <c r="G229" s="442"/>
      <c r="H229" s="443"/>
      <c r="I229" s="443"/>
      <c r="J229" s="443"/>
      <c r="K229" s="444"/>
      <c r="L229" s="439"/>
      <c r="M229" s="439"/>
      <c r="N229" s="439"/>
      <c r="O229" s="440"/>
    </row>
    <row r="230" spans="1:23" s="432" customFormat="1" ht="24" customHeight="1">
      <c r="B230" s="115"/>
      <c r="C230" s="115"/>
      <c r="D230" s="115"/>
      <c r="E230" s="115"/>
      <c r="F230" s="441"/>
      <c r="G230" s="442"/>
      <c r="H230" s="443"/>
      <c r="I230" s="443"/>
      <c r="J230" s="443"/>
      <c r="K230" s="444"/>
      <c r="L230" s="439"/>
      <c r="M230" s="439"/>
      <c r="N230" s="439"/>
      <c r="O230" s="440"/>
    </row>
    <row r="231" spans="1:23" s="432" customFormat="1" ht="24" customHeight="1">
      <c r="B231" s="115"/>
      <c r="C231" s="115"/>
      <c r="D231" s="115"/>
      <c r="E231" s="115"/>
      <c r="F231" s="441"/>
      <c r="G231" s="442"/>
      <c r="H231" s="443"/>
      <c r="I231" s="443"/>
      <c r="J231" s="443"/>
      <c r="K231" s="444"/>
      <c r="L231" s="439"/>
      <c r="M231" s="439"/>
      <c r="N231" s="439"/>
      <c r="O231" s="440"/>
    </row>
    <row r="232" spans="1:23" s="432" customFormat="1" ht="24" customHeight="1">
      <c r="B232" s="115"/>
      <c r="C232" s="115"/>
      <c r="D232" s="115"/>
      <c r="E232" s="115"/>
      <c r="F232" s="441"/>
      <c r="G232" s="442"/>
      <c r="H232" s="443"/>
      <c r="I232" s="443"/>
      <c r="J232" s="443"/>
      <c r="K232" s="444"/>
      <c r="L232" s="439"/>
      <c r="M232" s="439"/>
      <c r="N232" s="439"/>
      <c r="O232" s="440"/>
    </row>
    <row r="233" spans="1:23" s="445" customFormat="1" ht="24" customHeight="1">
      <c r="A233" s="432"/>
      <c r="B233" s="115"/>
      <c r="C233" s="115"/>
      <c r="D233" s="115"/>
      <c r="E233" s="115"/>
      <c r="F233" s="441"/>
      <c r="G233" s="442"/>
      <c r="H233" s="443"/>
      <c r="I233" s="443"/>
      <c r="J233" s="443"/>
      <c r="K233" s="444"/>
      <c r="L233" s="439"/>
      <c r="M233" s="439"/>
      <c r="N233" s="439"/>
      <c r="O233" s="440"/>
      <c r="P233" s="432"/>
      <c r="Q233" s="432"/>
      <c r="R233" s="432"/>
      <c r="S233" s="432"/>
      <c r="T233" s="432"/>
      <c r="U233" s="432"/>
      <c r="V233" s="432"/>
      <c r="W233" s="432"/>
    </row>
    <row r="234" spans="1:23" s="432" customFormat="1" ht="24" customHeight="1">
      <c r="B234" s="115"/>
      <c r="C234" s="115"/>
      <c r="D234" s="115"/>
      <c r="E234" s="115"/>
      <c r="F234" s="441"/>
      <c r="G234" s="442"/>
      <c r="H234" s="443"/>
      <c r="I234" s="443"/>
      <c r="J234" s="443"/>
      <c r="K234" s="444"/>
      <c r="L234" s="439"/>
      <c r="M234" s="439"/>
      <c r="N234" s="439"/>
      <c r="O234" s="440"/>
    </row>
    <row r="235" spans="1:23" s="432" customFormat="1" ht="24" customHeight="1">
      <c r="B235" s="115"/>
      <c r="C235" s="115"/>
      <c r="D235" s="115"/>
      <c r="E235" s="115"/>
      <c r="F235" s="441"/>
      <c r="G235" s="442"/>
      <c r="H235" s="443"/>
      <c r="I235" s="443"/>
      <c r="J235" s="443"/>
      <c r="K235" s="444"/>
      <c r="L235" s="439"/>
      <c r="M235" s="439"/>
      <c r="N235" s="439"/>
      <c r="O235" s="440"/>
    </row>
    <row r="236" spans="1:23" s="432" customFormat="1" ht="24" customHeight="1">
      <c r="B236" s="115"/>
      <c r="C236" s="115"/>
      <c r="D236" s="115"/>
      <c r="E236" s="115"/>
      <c r="F236" s="441"/>
      <c r="G236" s="442"/>
      <c r="H236" s="443"/>
      <c r="I236" s="443"/>
      <c r="J236" s="443"/>
      <c r="K236" s="444"/>
      <c r="L236" s="439"/>
      <c r="M236" s="439"/>
      <c r="N236" s="439"/>
      <c r="O236" s="440"/>
    </row>
    <row r="237" spans="1:23" s="432" customFormat="1" ht="24" customHeight="1">
      <c r="B237" s="115"/>
      <c r="C237" s="115"/>
      <c r="D237" s="115"/>
      <c r="E237" s="115"/>
      <c r="F237" s="441"/>
      <c r="G237" s="442"/>
      <c r="H237" s="443"/>
      <c r="I237" s="443"/>
      <c r="J237" s="443"/>
      <c r="K237" s="444"/>
      <c r="L237" s="439"/>
      <c r="M237" s="439"/>
      <c r="N237" s="439"/>
      <c r="O237" s="440"/>
    </row>
    <row r="238" spans="1:23" s="432" customFormat="1" ht="24" customHeight="1">
      <c r="B238" s="115"/>
      <c r="C238" s="115"/>
      <c r="D238" s="115"/>
      <c r="E238" s="115"/>
      <c r="F238" s="441"/>
      <c r="G238" s="442"/>
      <c r="H238" s="443"/>
      <c r="I238" s="443"/>
      <c r="J238" s="443"/>
      <c r="K238" s="444"/>
      <c r="L238" s="439"/>
      <c r="M238" s="439"/>
      <c r="N238" s="439"/>
      <c r="O238" s="440"/>
    </row>
    <row r="239" spans="1:23" s="432" customFormat="1" ht="24" customHeight="1">
      <c r="B239" s="115"/>
      <c r="C239" s="115"/>
      <c r="D239" s="115"/>
      <c r="E239" s="115"/>
      <c r="F239" s="441"/>
      <c r="G239" s="442"/>
      <c r="H239" s="443"/>
      <c r="I239" s="443"/>
      <c r="J239" s="443"/>
      <c r="K239" s="444"/>
      <c r="L239" s="439"/>
      <c r="M239" s="439"/>
      <c r="N239" s="439"/>
      <c r="O239" s="440"/>
    </row>
    <row r="240" spans="1:23" s="432" customFormat="1" ht="24" customHeight="1">
      <c r="B240" s="115"/>
      <c r="C240" s="115"/>
      <c r="D240" s="115"/>
      <c r="E240" s="115"/>
      <c r="F240" s="441"/>
      <c r="G240" s="442"/>
      <c r="H240" s="443"/>
      <c r="I240" s="443"/>
      <c r="J240" s="443"/>
      <c r="K240" s="444"/>
      <c r="L240" s="439"/>
      <c r="M240" s="439"/>
      <c r="N240" s="439"/>
      <c r="O240" s="440"/>
    </row>
    <row r="241" spans="2:15" s="432" customFormat="1" ht="24" customHeight="1">
      <c r="B241" s="115"/>
      <c r="C241" s="115"/>
      <c r="D241" s="115"/>
      <c r="E241" s="115"/>
      <c r="F241" s="441"/>
      <c r="G241" s="442"/>
      <c r="H241" s="443"/>
      <c r="I241" s="443"/>
      <c r="J241" s="443"/>
      <c r="K241" s="444"/>
      <c r="L241" s="439"/>
      <c r="M241" s="439"/>
      <c r="N241" s="439"/>
      <c r="O241" s="440"/>
    </row>
    <row r="242" spans="2:15" s="432" customFormat="1" ht="24" customHeight="1">
      <c r="B242" s="115"/>
      <c r="C242" s="115"/>
      <c r="D242" s="115"/>
      <c r="E242" s="115"/>
      <c r="F242" s="441"/>
      <c r="G242" s="442"/>
      <c r="H242" s="443"/>
      <c r="I242" s="443"/>
      <c r="J242" s="443"/>
      <c r="K242" s="444"/>
      <c r="L242" s="439"/>
      <c r="M242" s="439"/>
      <c r="N242" s="439"/>
      <c r="O242" s="440"/>
    </row>
    <row r="243" spans="2:15" s="432" customFormat="1" ht="24" customHeight="1">
      <c r="B243" s="115"/>
      <c r="C243" s="115"/>
      <c r="D243" s="115"/>
      <c r="E243" s="115"/>
      <c r="F243" s="441"/>
      <c r="G243" s="442"/>
      <c r="H243" s="443"/>
      <c r="I243" s="443"/>
      <c r="J243" s="443"/>
      <c r="K243" s="444"/>
      <c r="L243" s="439"/>
      <c r="M243" s="439"/>
      <c r="N243" s="439"/>
      <c r="O243" s="440"/>
    </row>
    <row r="244" spans="2:15" s="432" customFormat="1" ht="24" customHeight="1">
      <c r="B244" s="115"/>
      <c r="C244" s="115"/>
      <c r="D244" s="115"/>
      <c r="E244" s="115"/>
      <c r="F244" s="441"/>
      <c r="G244" s="442"/>
      <c r="H244" s="443"/>
      <c r="I244" s="443"/>
      <c r="J244" s="443"/>
      <c r="K244" s="444"/>
      <c r="L244" s="439"/>
      <c r="M244" s="439"/>
      <c r="N244" s="439"/>
      <c r="O244" s="440"/>
    </row>
    <row r="245" spans="2:15" s="432" customFormat="1" ht="24" customHeight="1">
      <c r="B245" s="115"/>
      <c r="C245" s="115"/>
      <c r="D245" s="115"/>
      <c r="E245" s="115"/>
      <c r="F245" s="441"/>
      <c r="G245" s="442"/>
      <c r="H245" s="443"/>
      <c r="I245" s="443"/>
      <c r="J245" s="443"/>
      <c r="K245" s="444"/>
      <c r="L245" s="439"/>
      <c r="M245" s="439"/>
      <c r="N245" s="439"/>
      <c r="O245" s="440"/>
    </row>
    <row r="246" spans="2:15" s="432" customFormat="1" ht="24" customHeight="1">
      <c r="B246" s="115"/>
      <c r="C246" s="115"/>
      <c r="D246" s="115"/>
      <c r="E246" s="115"/>
      <c r="F246" s="441"/>
      <c r="G246" s="442"/>
      <c r="H246" s="443"/>
      <c r="I246" s="443"/>
      <c r="J246" s="443"/>
      <c r="K246" s="444"/>
      <c r="L246" s="439"/>
      <c r="M246" s="439"/>
      <c r="N246" s="439"/>
      <c r="O246" s="440"/>
    </row>
    <row r="247" spans="2:15" s="432" customFormat="1" ht="24" customHeight="1">
      <c r="B247" s="115"/>
      <c r="C247" s="115"/>
      <c r="D247" s="115"/>
      <c r="E247" s="115"/>
      <c r="F247" s="441"/>
      <c r="G247" s="442"/>
      <c r="H247" s="443"/>
      <c r="I247" s="443"/>
      <c r="J247" s="443"/>
      <c r="K247" s="444"/>
      <c r="L247" s="439"/>
      <c r="M247" s="439"/>
      <c r="N247" s="439"/>
      <c r="O247" s="440"/>
    </row>
    <row r="248" spans="2:15" s="432" customFormat="1" ht="25.5" customHeight="1">
      <c r="B248" s="115"/>
      <c r="C248" s="115"/>
      <c r="D248" s="115"/>
      <c r="E248" s="115"/>
      <c r="F248" s="441"/>
      <c r="G248" s="442"/>
      <c r="H248" s="443"/>
      <c r="I248" s="443"/>
      <c r="J248" s="443"/>
      <c r="K248" s="444"/>
      <c r="L248" s="439"/>
      <c r="M248" s="439"/>
      <c r="N248" s="439"/>
      <c r="O248" s="440"/>
    </row>
    <row r="249" spans="2:15" s="432" customFormat="1" ht="25.5" customHeight="1">
      <c r="B249" s="115"/>
      <c r="C249" s="115"/>
      <c r="D249" s="115"/>
      <c r="E249" s="115"/>
      <c r="F249" s="441"/>
      <c r="G249" s="442"/>
      <c r="H249" s="443"/>
      <c r="I249" s="443"/>
      <c r="J249" s="443"/>
      <c r="K249" s="444"/>
      <c r="L249" s="439"/>
      <c r="M249" s="439"/>
      <c r="N249" s="439"/>
      <c r="O249" s="440"/>
    </row>
    <row r="250" spans="2:15" s="432" customFormat="1" ht="25.5" customHeight="1">
      <c r="B250" s="115"/>
      <c r="C250" s="115"/>
      <c r="D250" s="115"/>
      <c r="E250" s="115"/>
      <c r="F250" s="441"/>
      <c r="G250" s="442"/>
      <c r="H250" s="443"/>
      <c r="I250" s="443"/>
      <c r="J250" s="443"/>
      <c r="K250" s="444"/>
      <c r="L250" s="439"/>
      <c r="M250" s="439"/>
      <c r="N250" s="439"/>
      <c r="O250" s="440"/>
    </row>
    <row r="251" spans="2:15" s="432" customFormat="1" ht="25.5" customHeight="1">
      <c r="B251" s="115"/>
      <c r="C251" s="115"/>
      <c r="D251" s="115"/>
      <c r="E251" s="115"/>
      <c r="F251" s="441"/>
      <c r="G251" s="442"/>
      <c r="H251" s="443"/>
      <c r="I251" s="443"/>
      <c r="J251" s="443"/>
      <c r="K251" s="444"/>
      <c r="L251" s="439"/>
      <c r="M251" s="439"/>
      <c r="N251" s="439"/>
      <c r="O251" s="440"/>
    </row>
    <row r="252" spans="2:15" s="432" customFormat="1" ht="25.5" customHeight="1">
      <c r="B252" s="115"/>
      <c r="C252" s="115"/>
      <c r="D252" s="115"/>
      <c r="E252" s="115"/>
      <c r="F252" s="441"/>
      <c r="G252" s="442"/>
      <c r="H252" s="443"/>
      <c r="I252" s="443"/>
      <c r="J252" s="443"/>
      <c r="K252" s="444"/>
      <c r="L252" s="439"/>
      <c r="M252" s="439"/>
      <c r="N252" s="439"/>
      <c r="O252" s="440"/>
    </row>
    <row r="253" spans="2:15" s="432" customFormat="1" ht="25.5" customHeight="1">
      <c r="B253" s="121"/>
      <c r="C253" s="119"/>
      <c r="D253" s="119"/>
      <c r="E253" s="119"/>
      <c r="K253" s="446"/>
      <c r="M253" s="447"/>
      <c r="O253" s="440"/>
    </row>
    <row r="254" spans="2:15" s="432" customFormat="1" ht="25.5" customHeight="1">
      <c r="B254" s="121"/>
      <c r="C254" s="119"/>
      <c r="D254" s="119"/>
      <c r="E254" s="119"/>
      <c r="K254" s="446"/>
      <c r="M254" s="447"/>
      <c r="O254" s="440"/>
    </row>
    <row r="255" spans="2:15" s="432" customFormat="1" ht="25.5" customHeight="1">
      <c r="B255" s="121"/>
      <c r="C255" s="119"/>
      <c r="D255" s="119"/>
      <c r="E255" s="119"/>
      <c r="K255" s="446"/>
      <c r="M255" s="447"/>
      <c r="O255" s="440"/>
    </row>
    <row r="256" spans="2:15" s="432" customFormat="1" ht="25.5" customHeight="1">
      <c r="B256" s="121"/>
      <c r="C256" s="119"/>
      <c r="D256" s="119"/>
      <c r="E256" s="119"/>
      <c r="K256" s="446"/>
      <c r="M256" s="447"/>
      <c r="O256" s="440"/>
    </row>
    <row r="257" spans="2:15" s="432" customFormat="1" ht="25.5" customHeight="1">
      <c r="B257" s="121"/>
      <c r="C257" s="119"/>
      <c r="D257" s="119"/>
      <c r="E257" s="119"/>
      <c r="K257" s="446"/>
      <c r="M257" s="447"/>
      <c r="O257" s="440"/>
    </row>
    <row r="258" spans="2:15" s="432" customFormat="1" ht="25.5" customHeight="1">
      <c r="B258" s="121"/>
      <c r="C258" s="119"/>
      <c r="D258" s="119"/>
      <c r="E258" s="119"/>
      <c r="K258" s="446"/>
      <c r="M258" s="447"/>
      <c r="O258" s="440"/>
    </row>
    <row r="259" spans="2:15" s="432" customFormat="1" ht="25.5" customHeight="1">
      <c r="B259" s="121"/>
      <c r="C259" s="119"/>
      <c r="D259" s="119"/>
      <c r="E259" s="119"/>
      <c r="K259" s="446"/>
      <c r="M259" s="447"/>
      <c r="O259" s="440"/>
    </row>
    <row r="260" spans="2:15" s="432" customFormat="1" ht="25.5" customHeight="1">
      <c r="B260" s="121"/>
      <c r="C260" s="119"/>
      <c r="D260" s="119"/>
      <c r="E260" s="119"/>
      <c r="K260" s="446"/>
      <c r="M260" s="447"/>
      <c r="O260" s="440"/>
    </row>
    <row r="261" spans="2:15" s="432" customFormat="1" ht="25.5" customHeight="1">
      <c r="B261" s="121"/>
      <c r="C261" s="119"/>
      <c r="D261" s="119"/>
      <c r="E261" s="119"/>
      <c r="K261" s="446"/>
      <c r="M261" s="447"/>
      <c r="O261" s="440"/>
    </row>
    <row r="262" spans="2:15" s="432" customFormat="1" ht="25.5" customHeight="1">
      <c r="B262" s="121"/>
      <c r="C262" s="119"/>
      <c r="D262" s="119"/>
      <c r="E262" s="119"/>
      <c r="K262" s="446"/>
      <c r="M262" s="447"/>
      <c r="O262" s="440"/>
    </row>
    <row r="263" spans="2:15" s="432" customFormat="1" ht="25.5" customHeight="1">
      <c r="B263" s="121"/>
      <c r="C263" s="119"/>
      <c r="D263" s="119"/>
      <c r="E263" s="119"/>
      <c r="K263" s="446"/>
      <c r="M263" s="447"/>
      <c r="O263" s="440"/>
    </row>
    <row r="264" spans="2:15" s="432" customFormat="1" ht="25.5" customHeight="1">
      <c r="B264" s="121"/>
      <c r="C264" s="119"/>
      <c r="D264" s="119"/>
      <c r="E264" s="119"/>
      <c r="K264" s="446"/>
      <c r="M264" s="447"/>
      <c r="O264" s="440"/>
    </row>
    <row r="265" spans="2:15" s="432" customFormat="1" ht="25.5" customHeight="1">
      <c r="B265" s="121"/>
      <c r="C265" s="119"/>
      <c r="D265" s="119"/>
      <c r="E265" s="119"/>
      <c r="K265" s="446"/>
      <c r="M265" s="447"/>
      <c r="O265" s="440"/>
    </row>
    <row r="266" spans="2:15" s="432" customFormat="1" ht="25.5" customHeight="1">
      <c r="B266" s="121"/>
      <c r="C266" s="119"/>
      <c r="D266" s="119"/>
      <c r="E266" s="119"/>
      <c r="K266" s="446"/>
      <c r="M266" s="447"/>
      <c r="O266" s="440"/>
    </row>
    <row r="267" spans="2:15" s="432" customFormat="1" ht="25.5" customHeight="1">
      <c r="B267" s="121"/>
      <c r="C267" s="119"/>
      <c r="D267" s="119"/>
      <c r="E267" s="119"/>
      <c r="K267" s="446"/>
      <c r="M267" s="447"/>
      <c r="O267" s="440"/>
    </row>
    <row r="268" spans="2:15" s="432" customFormat="1" ht="25.5" customHeight="1">
      <c r="B268" s="121"/>
      <c r="C268" s="119"/>
      <c r="D268" s="119"/>
      <c r="E268" s="119"/>
      <c r="K268" s="446"/>
      <c r="M268" s="447"/>
      <c r="O268" s="440"/>
    </row>
    <row r="269" spans="2:15" s="432" customFormat="1" ht="25.5" customHeight="1">
      <c r="B269" s="121"/>
      <c r="C269" s="119"/>
      <c r="D269" s="119"/>
      <c r="E269" s="119"/>
      <c r="K269" s="446"/>
      <c r="M269" s="447"/>
      <c r="O269" s="440"/>
    </row>
    <row r="270" spans="2:15" s="432" customFormat="1" ht="25.5" customHeight="1">
      <c r="B270" s="121"/>
      <c r="C270" s="119"/>
      <c r="D270" s="119"/>
      <c r="E270" s="119"/>
      <c r="K270" s="446"/>
      <c r="M270" s="447"/>
      <c r="O270" s="440"/>
    </row>
    <row r="271" spans="2:15" s="432" customFormat="1" ht="25.5" customHeight="1">
      <c r="B271" s="121"/>
      <c r="C271" s="119"/>
      <c r="D271" s="119"/>
      <c r="E271" s="119"/>
      <c r="K271" s="446"/>
      <c r="M271" s="447"/>
      <c r="O271" s="440"/>
    </row>
    <row r="272" spans="2:15" s="432" customFormat="1" ht="25.5" customHeight="1">
      <c r="B272" s="121"/>
      <c r="C272" s="119"/>
      <c r="D272" s="119"/>
      <c r="E272" s="119"/>
      <c r="K272" s="446"/>
      <c r="M272" s="447"/>
      <c r="O272" s="440"/>
    </row>
    <row r="273" spans="2:15" s="432" customFormat="1" ht="25.5" customHeight="1">
      <c r="B273" s="121"/>
      <c r="C273" s="119"/>
      <c r="D273" s="119"/>
      <c r="E273" s="119"/>
      <c r="K273" s="446"/>
      <c r="M273" s="447"/>
      <c r="O273" s="440"/>
    </row>
    <row r="274" spans="2:15" s="432" customFormat="1" ht="25.5" customHeight="1">
      <c r="B274" s="121"/>
      <c r="C274" s="119"/>
      <c r="D274" s="119"/>
      <c r="E274" s="119"/>
      <c r="K274" s="446"/>
      <c r="M274" s="447"/>
      <c r="O274" s="440"/>
    </row>
    <row r="275" spans="2:15" s="432" customFormat="1" ht="25.5" customHeight="1">
      <c r="B275" s="121"/>
      <c r="C275" s="119"/>
      <c r="D275" s="119"/>
      <c r="E275" s="119"/>
      <c r="K275" s="446"/>
      <c r="M275" s="447"/>
      <c r="O275" s="440"/>
    </row>
    <row r="276" spans="2:15" s="432" customFormat="1" ht="25.5" customHeight="1">
      <c r="B276" s="121"/>
      <c r="C276" s="119"/>
      <c r="D276" s="119"/>
      <c r="E276" s="119"/>
      <c r="K276" s="446"/>
      <c r="M276" s="447"/>
      <c r="O276" s="440"/>
    </row>
    <row r="277" spans="2:15" s="432" customFormat="1" ht="25.5" customHeight="1">
      <c r="B277" s="121"/>
      <c r="C277" s="119"/>
      <c r="D277" s="119"/>
      <c r="E277" s="119"/>
      <c r="K277" s="446"/>
      <c r="M277" s="447"/>
      <c r="O277" s="440"/>
    </row>
    <row r="278" spans="2:15" s="432" customFormat="1" ht="25.5" customHeight="1">
      <c r="B278" s="121"/>
      <c r="C278" s="119"/>
      <c r="D278" s="119"/>
      <c r="E278" s="119"/>
      <c r="K278" s="446"/>
      <c r="M278" s="447"/>
      <c r="O278" s="440"/>
    </row>
    <row r="279" spans="2:15" s="432" customFormat="1" ht="25.5" customHeight="1">
      <c r="B279" s="121"/>
      <c r="C279" s="119"/>
      <c r="D279" s="119"/>
      <c r="E279" s="119"/>
      <c r="K279" s="446"/>
      <c r="M279" s="447"/>
      <c r="O279" s="440"/>
    </row>
    <row r="280" spans="2:15" s="432" customFormat="1" ht="25.5" customHeight="1">
      <c r="B280" s="121"/>
      <c r="C280" s="119"/>
      <c r="D280" s="119"/>
      <c r="E280" s="119"/>
      <c r="K280" s="446"/>
      <c r="M280" s="447"/>
      <c r="O280" s="440"/>
    </row>
    <row r="281" spans="2:15" s="432" customFormat="1" ht="25.5" customHeight="1">
      <c r="B281" s="121"/>
      <c r="C281" s="119"/>
      <c r="D281" s="119"/>
      <c r="E281" s="119"/>
      <c r="K281" s="446"/>
      <c r="M281" s="447"/>
      <c r="O281" s="440"/>
    </row>
    <row r="282" spans="2:15" s="432" customFormat="1" ht="25.5" customHeight="1">
      <c r="B282" s="121"/>
      <c r="C282" s="119"/>
      <c r="D282" s="119"/>
      <c r="E282" s="119"/>
      <c r="K282" s="446"/>
      <c r="M282" s="447"/>
      <c r="O282" s="440"/>
    </row>
    <row r="283" spans="2:15" s="432" customFormat="1" ht="25.5" customHeight="1">
      <c r="B283" s="121"/>
      <c r="C283" s="119"/>
      <c r="D283" s="119"/>
      <c r="E283" s="119"/>
      <c r="K283" s="446"/>
      <c r="M283" s="447"/>
      <c r="O283" s="440"/>
    </row>
    <row r="284" spans="2:15" s="432" customFormat="1" ht="25.5" customHeight="1">
      <c r="B284" s="121"/>
      <c r="C284" s="119"/>
      <c r="D284" s="119"/>
      <c r="E284" s="119"/>
      <c r="K284" s="446"/>
      <c r="M284" s="447"/>
      <c r="O284" s="440"/>
    </row>
    <row r="285" spans="2:15" s="432" customFormat="1" ht="25.5" customHeight="1">
      <c r="B285" s="121"/>
      <c r="C285" s="119"/>
      <c r="D285" s="119"/>
      <c r="E285" s="119"/>
      <c r="K285" s="446"/>
      <c r="M285" s="447"/>
      <c r="O285" s="440"/>
    </row>
    <row r="286" spans="2:15" s="432" customFormat="1" ht="25.5" customHeight="1">
      <c r="B286" s="121"/>
      <c r="C286" s="119"/>
      <c r="D286" s="119"/>
      <c r="E286" s="119"/>
      <c r="K286" s="446"/>
      <c r="M286" s="447"/>
      <c r="O286" s="440"/>
    </row>
    <row r="287" spans="2:15" s="432" customFormat="1" ht="25.5" customHeight="1">
      <c r="B287" s="121"/>
      <c r="C287" s="119"/>
      <c r="D287" s="119"/>
      <c r="E287" s="119"/>
      <c r="K287" s="446"/>
      <c r="M287" s="447"/>
      <c r="O287" s="440"/>
    </row>
    <row r="288" spans="2:15" s="432" customFormat="1" ht="25.5" customHeight="1">
      <c r="B288" s="121"/>
      <c r="C288" s="119"/>
      <c r="D288" s="119"/>
      <c r="E288" s="119"/>
      <c r="K288" s="446"/>
      <c r="M288" s="447"/>
      <c r="O288" s="440"/>
    </row>
    <row r="289" spans="2:15" s="432" customFormat="1" ht="25.5" customHeight="1">
      <c r="B289" s="121"/>
      <c r="C289" s="119"/>
      <c r="D289" s="119"/>
      <c r="E289" s="119"/>
      <c r="K289" s="446"/>
      <c r="M289" s="447"/>
      <c r="O289" s="440"/>
    </row>
    <row r="290" spans="2:15" s="432" customFormat="1" ht="25.5" customHeight="1">
      <c r="B290" s="121"/>
      <c r="C290" s="119"/>
      <c r="D290" s="119"/>
      <c r="E290" s="119"/>
      <c r="K290" s="446"/>
      <c r="M290" s="447"/>
      <c r="O290" s="440"/>
    </row>
    <row r="291" spans="2:15" s="432" customFormat="1" ht="25.5" customHeight="1">
      <c r="B291" s="121"/>
      <c r="C291" s="119"/>
      <c r="D291" s="119"/>
      <c r="E291" s="119"/>
      <c r="K291" s="446"/>
      <c r="M291" s="447"/>
      <c r="O291" s="440"/>
    </row>
    <row r="292" spans="2:15" s="432" customFormat="1" ht="25.5" customHeight="1">
      <c r="B292" s="121"/>
      <c r="C292" s="119"/>
      <c r="D292" s="119"/>
      <c r="E292" s="119"/>
      <c r="K292" s="446"/>
      <c r="M292" s="447"/>
      <c r="O292" s="440"/>
    </row>
    <row r="293" spans="2:15" s="432" customFormat="1" ht="25.5" customHeight="1">
      <c r="B293" s="121"/>
      <c r="C293" s="119"/>
      <c r="D293" s="119"/>
      <c r="E293" s="119"/>
      <c r="K293" s="446"/>
      <c r="M293" s="447"/>
      <c r="O293" s="440"/>
    </row>
    <row r="294" spans="2:15" s="432" customFormat="1" ht="25.5" customHeight="1">
      <c r="B294" s="121"/>
      <c r="C294" s="119"/>
      <c r="D294" s="119"/>
      <c r="E294" s="119"/>
      <c r="K294" s="446"/>
      <c r="M294" s="447"/>
      <c r="O294" s="440"/>
    </row>
    <row r="295" spans="2:15" s="432" customFormat="1" ht="25.5" customHeight="1">
      <c r="B295" s="121"/>
      <c r="C295" s="119"/>
      <c r="D295" s="119"/>
      <c r="E295" s="119"/>
      <c r="K295" s="446"/>
      <c r="M295" s="447"/>
      <c r="O295" s="440"/>
    </row>
    <row r="296" spans="2:15" s="432" customFormat="1" ht="25.5" customHeight="1">
      <c r="B296" s="121"/>
      <c r="C296" s="119"/>
      <c r="D296" s="119"/>
      <c r="E296" s="119"/>
      <c r="K296" s="446"/>
      <c r="M296" s="447"/>
      <c r="O296" s="440"/>
    </row>
    <row r="297" spans="2:15" s="432" customFormat="1" ht="25.5" customHeight="1">
      <c r="B297" s="121"/>
      <c r="C297" s="119"/>
      <c r="D297" s="119"/>
      <c r="E297" s="119"/>
      <c r="K297" s="446"/>
      <c r="M297" s="447"/>
      <c r="O297" s="440"/>
    </row>
    <row r="298" spans="2:15" s="432" customFormat="1" ht="25.5" customHeight="1">
      <c r="B298" s="121"/>
      <c r="C298" s="119"/>
      <c r="D298" s="119"/>
      <c r="E298" s="119"/>
      <c r="K298" s="446"/>
      <c r="M298" s="447"/>
      <c r="O298" s="440"/>
    </row>
    <row r="299" spans="2:15" s="432" customFormat="1" ht="25.5" customHeight="1">
      <c r="B299" s="121"/>
      <c r="C299" s="119"/>
      <c r="D299" s="119"/>
      <c r="E299" s="119"/>
      <c r="K299" s="446"/>
      <c r="M299" s="447"/>
      <c r="O299" s="440"/>
    </row>
    <row r="300" spans="2:15" s="432" customFormat="1" ht="25.5" customHeight="1">
      <c r="B300" s="121"/>
      <c r="C300" s="119"/>
      <c r="D300" s="119"/>
      <c r="E300" s="119"/>
      <c r="K300" s="446"/>
      <c r="M300" s="447"/>
      <c r="O300" s="440"/>
    </row>
    <row r="301" spans="2:15" s="432" customFormat="1" ht="25.5" customHeight="1">
      <c r="B301" s="118"/>
      <c r="C301" s="120"/>
      <c r="D301" s="120"/>
      <c r="E301" s="120"/>
      <c r="F301" s="440"/>
      <c r="G301" s="440"/>
      <c r="H301" s="440"/>
      <c r="I301" s="440"/>
      <c r="J301" s="440"/>
      <c r="K301" s="444"/>
      <c r="L301" s="440"/>
      <c r="M301" s="448"/>
      <c r="O301" s="440"/>
    </row>
    <row r="302" spans="2:15" s="432" customFormat="1" ht="25.5" customHeight="1">
      <c r="B302" s="121"/>
      <c r="C302" s="119"/>
      <c r="D302" s="119"/>
      <c r="E302" s="119"/>
      <c r="K302" s="446"/>
      <c r="M302" s="447"/>
      <c r="O302" s="440"/>
    </row>
    <row r="303" spans="2:15" s="432" customFormat="1" ht="25.5" customHeight="1">
      <c r="B303" s="121"/>
      <c r="C303" s="119"/>
      <c r="D303" s="119"/>
      <c r="E303" s="119"/>
      <c r="K303" s="446"/>
      <c r="M303" s="447"/>
      <c r="O303" s="440"/>
    </row>
    <row r="304" spans="2:15" s="173" customFormat="1" ht="25.5" customHeight="1">
      <c r="B304" s="122"/>
      <c r="C304" s="1"/>
      <c r="D304" s="1"/>
      <c r="E304" s="1"/>
      <c r="K304" s="209"/>
      <c r="M304" s="364"/>
      <c r="O304" s="449"/>
    </row>
    <row r="305" spans="2:15" s="173" customFormat="1" ht="25.5" customHeight="1">
      <c r="B305" s="122"/>
      <c r="C305" s="1"/>
      <c r="D305" s="1"/>
      <c r="E305" s="1"/>
      <c r="K305" s="209"/>
      <c r="M305" s="364"/>
      <c r="O305" s="449"/>
    </row>
    <row r="306" spans="2:15" s="173" customFormat="1" ht="25.5" customHeight="1">
      <c r="B306" s="122"/>
      <c r="C306" s="1"/>
      <c r="D306" s="1"/>
      <c r="E306" s="1"/>
      <c r="K306" s="209"/>
      <c r="M306" s="364"/>
      <c r="O306" s="449"/>
    </row>
    <row r="307" spans="2:15" s="173" customFormat="1" ht="25.5" customHeight="1">
      <c r="B307" s="122"/>
      <c r="C307" s="1"/>
      <c r="D307" s="1"/>
      <c r="E307" s="1"/>
      <c r="K307" s="209"/>
      <c r="M307" s="364"/>
      <c r="O307" s="449"/>
    </row>
    <row r="308" spans="2:15" s="173" customFormat="1" ht="25.5" customHeight="1">
      <c r="B308" s="122"/>
      <c r="C308" s="1"/>
      <c r="D308" s="1"/>
      <c r="E308" s="1"/>
      <c r="K308" s="209"/>
      <c r="M308" s="364"/>
      <c r="O308" s="449"/>
    </row>
    <row r="309" spans="2:15" s="173" customFormat="1" ht="25.5" customHeight="1">
      <c r="B309" s="122"/>
      <c r="C309" s="1"/>
      <c r="D309" s="1"/>
      <c r="E309" s="1"/>
      <c r="K309" s="209"/>
      <c r="M309" s="364"/>
      <c r="O309" s="449"/>
    </row>
    <row r="310" spans="2:15" s="173" customFormat="1" ht="25.5" customHeight="1">
      <c r="B310" s="122"/>
      <c r="C310" s="1"/>
      <c r="D310" s="1"/>
      <c r="E310" s="1"/>
      <c r="K310" s="209"/>
      <c r="M310" s="364"/>
      <c r="O310" s="449"/>
    </row>
    <row r="311" spans="2:15" s="173" customFormat="1" ht="25.5" customHeight="1">
      <c r="B311" s="122"/>
      <c r="C311" s="1"/>
      <c r="D311" s="1"/>
      <c r="E311" s="1"/>
      <c r="K311" s="209"/>
      <c r="M311" s="364"/>
      <c r="O311" s="449"/>
    </row>
    <row r="312" spans="2:15" s="173" customFormat="1" ht="25.5" customHeight="1">
      <c r="B312" s="122"/>
      <c r="C312" s="1"/>
      <c r="D312" s="1"/>
      <c r="E312" s="1"/>
      <c r="K312" s="209"/>
      <c r="M312" s="364"/>
      <c r="O312" s="449"/>
    </row>
    <row r="313" spans="2:15" s="173" customFormat="1" ht="25.5" customHeight="1">
      <c r="B313" s="122"/>
      <c r="C313" s="1"/>
      <c r="D313" s="1"/>
      <c r="E313" s="1"/>
      <c r="K313" s="209"/>
      <c r="M313" s="364"/>
      <c r="O313" s="449"/>
    </row>
    <row r="314" spans="2:15" s="173" customFormat="1" ht="25.5" customHeight="1">
      <c r="B314" s="122"/>
      <c r="C314" s="1"/>
      <c r="D314" s="1"/>
      <c r="E314" s="1"/>
      <c r="K314" s="209"/>
      <c r="M314" s="364"/>
      <c r="O314" s="449"/>
    </row>
    <row r="315" spans="2:15" s="173" customFormat="1" ht="25.5" customHeight="1">
      <c r="B315" s="40"/>
      <c r="C315" s="40"/>
      <c r="D315" s="101"/>
      <c r="E315" s="1"/>
      <c r="K315" s="209"/>
      <c r="M315" s="364"/>
      <c r="O315" s="449"/>
    </row>
    <row r="316" spans="2:15" s="173" customFormat="1" ht="25.5" customHeight="1">
      <c r="B316" s="122"/>
      <c r="C316" s="1"/>
      <c r="D316" s="1"/>
      <c r="E316" s="1"/>
      <c r="K316" s="209"/>
      <c r="M316" s="364"/>
      <c r="O316" s="449"/>
    </row>
    <row r="317" spans="2:15" s="173" customFormat="1" ht="25.5" customHeight="1">
      <c r="B317" s="122"/>
      <c r="C317" s="1"/>
      <c r="D317" s="1"/>
      <c r="E317" s="1"/>
      <c r="K317" s="209"/>
      <c r="M317" s="364"/>
      <c r="O317" s="449"/>
    </row>
    <row r="318" spans="2:15" s="173" customFormat="1" ht="25.5" customHeight="1">
      <c r="B318" s="122"/>
      <c r="C318" s="1"/>
      <c r="D318" s="1"/>
      <c r="E318" s="1"/>
      <c r="K318" s="209"/>
      <c r="M318" s="364"/>
      <c r="O318" s="449"/>
    </row>
    <row r="319" spans="2:15" s="173" customFormat="1" ht="25.5" customHeight="1">
      <c r="B319" s="122"/>
      <c r="C319" s="1"/>
      <c r="D319" s="1"/>
      <c r="E319" s="1"/>
      <c r="K319" s="209"/>
      <c r="M319" s="364"/>
      <c r="O319" s="449"/>
    </row>
    <row r="320" spans="2:15" s="173" customFormat="1" ht="25.5" customHeight="1">
      <c r="B320" s="122"/>
      <c r="C320" s="1"/>
      <c r="D320" s="1"/>
      <c r="E320" s="1"/>
      <c r="K320" s="209"/>
      <c r="M320" s="364"/>
      <c r="O320" s="449"/>
    </row>
    <row r="321" spans="2:15" s="173" customFormat="1" ht="25.5" customHeight="1">
      <c r="B321" s="122"/>
      <c r="C321" s="1"/>
      <c r="D321" s="1"/>
      <c r="E321" s="1"/>
      <c r="K321" s="209"/>
      <c r="M321" s="364"/>
      <c r="O321" s="449"/>
    </row>
    <row r="322" spans="2:15" s="173" customFormat="1" ht="25.5" customHeight="1">
      <c r="B322" s="122"/>
      <c r="C322" s="1"/>
      <c r="D322" s="1"/>
      <c r="E322" s="1"/>
      <c r="K322" s="209"/>
      <c r="M322" s="364"/>
      <c r="O322" s="449"/>
    </row>
    <row r="323" spans="2:15" s="173" customFormat="1" ht="25.5" customHeight="1">
      <c r="B323" s="122"/>
      <c r="C323" s="1"/>
      <c r="D323" s="1"/>
      <c r="E323" s="1"/>
      <c r="K323" s="209"/>
      <c r="M323" s="364"/>
      <c r="O323" s="449"/>
    </row>
    <row r="324" spans="2:15" s="173" customFormat="1" ht="25.5" customHeight="1">
      <c r="B324" s="122"/>
      <c r="C324" s="1"/>
      <c r="D324" s="1"/>
      <c r="E324" s="1"/>
      <c r="K324" s="209"/>
      <c r="M324" s="364"/>
      <c r="O324" s="449"/>
    </row>
    <row r="325" spans="2:15" s="173" customFormat="1" ht="25.5" customHeight="1">
      <c r="B325" s="122"/>
      <c r="C325" s="1"/>
      <c r="D325" s="1"/>
      <c r="E325" s="1"/>
      <c r="K325" s="209"/>
      <c r="M325" s="364"/>
      <c r="O325" s="449"/>
    </row>
    <row r="326" spans="2:15" s="173" customFormat="1" ht="25.5" customHeight="1">
      <c r="B326" s="122"/>
      <c r="C326" s="1"/>
      <c r="D326" s="1"/>
      <c r="E326" s="1"/>
      <c r="K326" s="209"/>
      <c r="M326" s="364"/>
      <c r="O326" s="449"/>
    </row>
    <row r="327" spans="2:15" s="173" customFormat="1" ht="25.5" customHeight="1">
      <c r="B327" s="122"/>
      <c r="C327" s="1"/>
      <c r="D327" s="1"/>
      <c r="E327" s="1"/>
      <c r="K327" s="209"/>
      <c r="M327" s="364"/>
      <c r="O327" s="449"/>
    </row>
    <row r="328" spans="2:15" s="173" customFormat="1" ht="25.5" customHeight="1">
      <c r="B328" s="122"/>
      <c r="C328" s="1"/>
      <c r="D328" s="1"/>
      <c r="E328" s="1"/>
      <c r="K328" s="209"/>
      <c r="M328" s="364"/>
      <c r="O328" s="449"/>
    </row>
    <row r="329" spans="2:15" s="173" customFormat="1" ht="25.5" customHeight="1">
      <c r="B329" s="122"/>
      <c r="C329" s="1"/>
      <c r="D329" s="1"/>
      <c r="E329" s="1"/>
      <c r="K329" s="209"/>
      <c r="M329" s="364"/>
      <c r="O329" s="449"/>
    </row>
    <row r="330" spans="2:15" s="173" customFormat="1" ht="25.5" customHeight="1">
      <c r="B330" s="122"/>
      <c r="C330" s="1"/>
      <c r="D330" s="1"/>
      <c r="E330" s="1"/>
      <c r="K330" s="209"/>
      <c r="M330" s="364"/>
      <c r="O330" s="449"/>
    </row>
    <row r="331" spans="2:15" s="173" customFormat="1" ht="25.5" customHeight="1">
      <c r="B331" s="122"/>
      <c r="C331" s="1"/>
      <c r="D331" s="1"/>
      <c r="E331" s="1"/>
      <c r="K331" s="209"/>
      <c r="M331" s="364"/>
      <c r="O331" s="449"/>
    </row>
    <row r="332" spans="2:15" s="173" customFormat="1" ht="25.5" customHeight="1">
      <c r="B332" s="122"/>
      <c r="C332" s="1"/>
      <c r="D332" s="1"/>
      <c r="E332" s="1"/>
      <c r="K332" s="209"/>
      <c r="M332" s="364"/>
      <c r="O332" s="449"/>
    </row>
    <row r="333" spans="2:15" s="173" customFormat="1" ht="25.5" customHeight="1">
      <c r="B333" s="122"/>
      <c r="C333" s="1"/>
      <c r="D333" s="1"/>
      <c r="E333" s="1"/>
      <c r="K333" s="209"/>
      <c r="M333" s="364"/>
      <c r="O333" s="449"/>
    </row>
    <row r="334" spans="2:15" s="173" customFormat="1" ht="25.5" customHeight="1">
      <c r="B334" s="122"/>
      <c r="C334" s="1"/>
      <c r="D334" s="1"/>
      <c r="E334" s="1"/>
      <c r="K334" s="209"/>
      <c r="M334" s="364"/>
      <c r="O334" s="449"/>
    </row>
    <row r="335" spans="2:15" s="173" customFormat="1" ht="25.5" customHeight="1">
      <c r="B335" s="122"/>
      <c r="C335" s="1"/>
      <c r="D335" s="1"/>
      <c r="E335" s="1"/>
      <c r="K335" s="209"/>
      <c r="M335" s="364"/>
      <c r="O335" s="449"/>
    </row>
    <row r="336" spans="2:15" s="173" customFormat="1" ht="25.5" customHeight="1">
      <c r="B336" s="122"/>
      <c r="C336" s="1"/>
      <c r="D336" s="1"/>
      <c r="E336" s="1"/>
      <c r="K336" s="209"/>
      <c r="M336" s="364"/>
      <c r="O336" s="449"/>
    </row>
    <row r="337" spans="2:15" s="173" customFormat="1" ht="25.5" customHeight="1">
      <c r="B337" s="122"/>
      <c r="C337" s="1"/>
      <c r="D337" s="1"/>
      <c r="E337" s="1"/>
      <c r="K337" s="209"/>
      <c r="M337" s="364"/>
      <c r="O337" s="449"/>
    </row>
    <row r="338" spans="2:15" s="173" customFormat="1" ht="25.5" customHeight="1">
      <c r="B338" s="122"/>
      <c r="C338" s="1"/>
      <c r="D338" s="1"/>
      <c r="E338" s="1"/>
      <c r="K338" s="209"/>
      <c r="M338" s="364"/>
      <c r="O338" s="449"/>
    </row>
    <row r="339" spans="2:15" s="173" customFormat="1" ht="25.5" customHeight="1">
      <c r="B339" s="122"/>
      <c r="C339" s="1"/>
      <c r="D339" s="1"/>
      <c r="E339" s="1"/>
      <c r="K339" s="209"/>
      <c r="M339" s="364"/>
      <c r="O339" s="449"/>
    </row>
    <row r="340" spans="2:15" s="173" customFormat="1" ht="25.5" customHeight="1">
      <c r="B340" s="122"/>
      <c r="C340" s="1"/>
      <c r="D340" s="1"/>
      <c r="E340" s="1"/>
      <c r="K340" s="209"/>
      <c r="M340" s="364"/>
      <c r="O340" s="449"/>
    </row>
    <row r="341" spans="2:15" s="173" customFormat="1" ht="25.5" customHeight="1">
      <c r="B341" s="122"/>
      <c r="C341" s="1"/>
      <c r="D341" s="1"/>
      <c r="E341" s="1"/>
      <c r="K341" s="209"/>
      <c r="M341" s="364"/>
      <c r="O341" s="449"/>
    </row>
    <row r="342" spans="2:15" s="173" customFormat="1" ht="25.5" customHeight="1">
      <c r="B342" s="122"/>
      <c r="C342" s="1"/>
      <c r="D342" s="1"/>
      <c r="E342" s="1"/>
      <c r="K342" s="209"/>
      <c r="M342" s="364"/>
      <c r="O342" s="449"/>
    </row>
    <row r="343" spans="2:15" s="173" customFormat="1" ht="25.5" customHeight="1">
      <c r="B343" s="122"/>
      <c r="C343" s="1"/>
      <c r="D343" s="1"/>
      <c r="E343" s="1"/>
      <c r="K343" s="209"/>
      <c r="M343" s="364"/>
      <c r="O343" s="449"/>
    </row>
    <row r="344" spans="2:15" s="173" customFormat="1" ht="25.5" customHeight="1">
      <c r="B344" s="122"/>
      <c r="C344" s="1"/>
      <c r="D344" s="1"/>
      <c r="E344" s="1"/>
      <c r="K344" s="209"/>
      <c r="M344" s="364"/>
      <c r="O344" s="449"/>
    </row>
    <row r="345" spans="2:15" s="173" customFormat="1" ht="25.5" customHeight="1">
      <c r="B345" s="122"/>
      <c r="C345" s="1"/>
      <c r="D345" s="1"/>
      <c r="E345" s="1"/>
      <c r="K345" s="209"/>
      <c r="M345" s="364"/>
      <c r="O345" s="449"/>
    </row>
    <row r="346" spans="2:15" s="173" customFormat="1" ht="25.5" customHeight="1">
      <c r="B346" s="122"/>
      <c r="C346" s="1"/>
      <c r="D346" s="1"/>
      <c r="E346" s="1"/>
      <c r="K346" s="209"/>
      <c r="M346" s="364"/>
      <c r="O346" s="449"/>
    </row>
    <row r="347" spans="2:15" s="173" customFormat="1" ht="25.5" customHeight="1">
      <c r="B347" s="122"/>
      <c r="C347" s="1"/>
      <c r="D347" s="1"/>
      <c r="E347" s="1"/>
      <c r="K347" s="209"/>
      <c r="M347" s="364"/>
      <c r="O347" s="449"/>
    </row>
    <row r="348" spans="2:15" s="173" customFormat="1" ht="25.5" customHeight="1">
      <c r="B348" s="122"/>
      <c r="C348" s="1"/>
      <c r="D348" s="1"/>
      <c r="E348" s="1"/>
      <c r="K348" s="209"/>
      <c r="M348" s="364"/>
      <c r="O348" s="449"/>
    </row>
    <row r="349" spans="2:15" s="173" customFormat="1" ht="25.5" customHeight="1">
      <c r="B349" s="122"/>
      <c r="C349" s="1"/>
      <c r="D349" s="1"/>
      <c r="E349" s="1"/>
      <c r="K349" s="209"/>
      <c r="M349" s="364"/>
      <c r="O349" s="449"/>
    </row>
    <row r="350" spans="2:15" s="173" customFormat="1" ht="25.5" customHeight="1">
      <c r="B350" s="122"/>
      <c r="C350" s="1"/>
      <c r="D350" s="1"/>
      <c r="E350" s="1"/>
      <c r="K350" s="209"/>
      <c r="M350" s="364"/>
      <c r="O350" s="449"/>
    </row>
    <row r="351" spans="2:15" s="173" customFormat="1" ht="25.5" customHeight="1">
      <c r="B351" s="122"/>
      <c r="C351" s="1"/>
      <c r="D351" s="1"/>
      <c r="E351" s="1"/>
      <c r="K351" s="209"/>
      <c r="M351" s="364"/>
      <c r="O351" s="449"/>
    </row>
    <row r="352" spans="2:15" s="173" customFormat="1" ht="25.5" customHeight="1">
      <c r="B352" s="122"/>
      <c r="C352" s="1"/>
      <c r="D352" s="1"/>
      <c r="E352" s="1"/>
      <c r="K352" s="209"/>
      <c r="M352" s="364"/>
      <c r="O352" s="449"/>
    </row>
    <row r="353" spans="2:15" s="173" customFormat="1" ht="25.5" customHeight="1">
      <c r="B353" s="122"/>
      <c r="C353" s="1"/>
      <c r="D353" s="1"/>
      <c r="E353" s="1"/>
      <c r="K353" s="209"/>
      <c r="M353" s="364"/>
      <c r="O353" s="449"/>
    </row>
    <row r="354" spans="2:15" s="173" customFormat="1" ht="25.5" customHeight="1">
      <c r="B354" s="122"/>
      <c r="C354" s="1"/>
      <c r="D354" s="1"/>
      <c r="E354" s="1"/>
      <c r="K354" s="209"/>
      <c r="M354" s="364"/>
      <c r="O354" s="449"/>
    </row>
    <row r="355" spans="2:15" s="173" customFormat="1" ht="25.5" customHeight="1">
      <c r="B355" s="122"/>
      <c r="C355" s="1"/>
      <c r="D355" s="1"/>
      <c r="E355" s="1"/>
      <c r="K355" s="209"/>
      <c r="M355" s="364"/>
      <c r="O355" s="449"/>
    </row>
    <row r="356" spans="2:15" s="173" customFormat="1" ht="25.5" customHeight="1">
      <c r="B356" s="122"/>
      <c r="C356" s="1"/>
      <c r="D356" s="1"/>
      <c r="E356" s="1"/>
      <c r="K356" s="209"/>
      <c r="M356" s="364"/>
      <c r="O356" s="449"/>
    </row>
    <row r="357" spans="2:15" s="173" customFormat="1" ht="25.5" customHeight="1">
      <c r="B357" s="122"/>
      <c r="C357" s="1"/>
      <c r="D357" s="1"/>
      <c r="E357" s="1"/>
      <c r="K357" s="209"/>
      <c r="M357" s="364"/>
      <c r="O357" s="449"/>
    </row>
    <row r="358" spans="2:15" s="173" customFormat="1" ht="25.5" customHeight="1">
      <c r="B358" s="122"/>
      <c r="C358" s="1"/>
      <c r="D358" s="1"/>
      <c r="E358" s="1"/>
      <c r="K358" s="209"/>
      <c r="M358" s="364"/>
      <c r="O358" s="449"/>
    </row>
    <row r="359" spans="2:15" s="173" customFormat="1" ht="25.5" customHeight="1">
      <c r="B359" s="122"/>
      <c r="C359" s="1"/>
      <c r="D359" s="1"/>
      <c r="E359" s="1"/>
      <c r="K359" s="209"/>
      <c r="M359" s="364"/>
      <c r="O359" s="449"/>
    </row>
    <row r="360" spans="2:15" s="173" customFormat="1" ht="25.5" customHeight="1">
      <c r="B360" s="122"/>
      <c r="C360" s="1"/>
      <c r="D360" s="1"/>
      <c r="E360" s="1"/>
      <c r="K360" s="209"/>
      <c r="M360" s="364"/>
      <c r="O360" s="449"/>
    </row>
    <row r="361" spans="2:15" s="173" customFormat="1" ht="25.5" customHeight="1">
      <c r="B361" s="122"/>
      <c r="C361" s="1"/>
      <c r="D361" s="1"/>
      <c r="E361" s="1"/>
      <c r="K361" s="209"/>
      <c r="M361" s="364"/>
      <c r="O361" s="449"/>
    </row>
    <row r="362" spans="2:15" s="173" customFormat="1" ht="25.5" customHeight="1">
      <c r="B362" s="122"/>
      <c r="C362" s="1"/>
      <c r="D362" s="1"/>
      <c r="E362" s="1"/>
      <c r="K362" s="209"/>
      <c r="M362" s="364"/>
      <c r="O362" s="449"/>
    </row>
    <row r="363" spans="2:15" s="173" customFormat="1" ht="25.5" customHeight="1">
      <c r="B363" s="122"/>
      <c r="C363" s="1"/>
      <c r="D363" s="1"/>
      <c r="E363" s="1"/>
      <c r="K363" s="209"/>
      <c r="M363" s="364"/>
      <c r="O363" s="449"/>
    </row>
    <row r="364" spans="2:15" s="173" customFormat="1" ht="25.5" customHeight="1">
      <c r="B364" s="122"/>
      <c r="C364" s="1"/>
      <c r="D364" s="1"/>
      <c r="E364" s="1"/>
      <c r="K364" s="209"/>
      <c r="M364" s="364"/>
      <c r="O364" s="449"/>
    </row>
    <row r="365" spans="2:15" s="173" customFormat="1" ht="25.5" customHeight="1">
      <c r="B365" s="122"/>
      <c r="C365" s="1"/>
      <c r="D365" s="1"/>
      <c r="E365" s="1"/>
      <c r="K365" s="209"/>
      <c r="M365" s="364"/>
      <c r="O365" s="449"/>
    </row>
    <row r="366" spans="2:15" s="173" customFormat="1" ht="25.5" customHeight="1">
      <c r="B366" s="122"/>
      <c r="C366" s="1"/>
      <c r="D366" s="1"/>
      <c r="E366" s="1"/>
      <c r="K366" s="209"/>
      <c r="M366" s="364"/>
      <c r="O366" s="449"/>
    </row>
    <row r="367" spans="2:15" s="173" customFormat="1" ht="25.5" customHeight="1">
      <c r="B367" s="122"/>
      <c r="C367" s="1"/>
      <c r="D367" s="1"/>
      <c r="E367" s="1"/>
      <c r="K367" s="209"/>
      <c r="M367" s="364"/>
      <c r="O367" s="449"/>
    </row>
    <row r="368" spans="2:15" s="173" customFormat="1" ht="25.5" customHeight="1">
      <c r="B368" s="122"/>
      <c r="C368" s="1"/>
      <c r="D368" s="1"/>
      <c r="E368" s="1"/>
      <c r="K368" s="209"/>
      <c r="M368" s="364"/>
      <c r="O368" s="449"/>
    </row>
    <row r="369" spans="2:15" s="173" customFormat="1" ht="25.5" customHeight="1">
      <c r="B369" s="122"/>
      <c r="C369" s="1"/>
      <c r="D369" s="1"/>
      <c r="E369" s="1"/>
      <c r="K369" s="209"/>
      <c r="M369" s="364"/>
      <c r="O369" s="449"/>
    </row>
    <row r="370" spans="2:15" s="173" customFormat="1" ht="25.5" customHeight="1">
      <c r="B370" s="122"/>
      <c r="C370" s="1"/>
      <c r="D370" s="1"/>
      <c r="E370" s="1"/>
      <c r="K370" s="209"/>
      <c r="M370" s="364"/>
      <c r="O370" s="449"/>
    </row>
    <row r="371" spans="2:15" s="173" customFormat="1" ht="25.5" customHeight="1">
      <c r="B371" s="122"/>
      <c r="C371" s="1"/>
      <c r="D371" s="1"/>
      <c r="E371" s="1"/>
      <c r="K371" s="209"/>
      <c r="M371" s="364"/>
      <c r="O371" s="449"/>
    </row>
    <row r="372" spans="2:15" s="173" customFormat="1" ht="25.5" customHeight="1">
      <c r="B372" s="122"/>
      <c r="C372" s="1"/>
      <c r="D372" s="1"/>
      <c r="E372" s="1"/>
      <c r="K372" s="209"/>
      <c r="M372" s="364"/>
      <c r="O372" s="449"/>
    </row>
    <row r="373" spans="2:15" s="173" customFormat="1" ht="25.5" customHeight="1">
      <c r="B373" s="122"/>
      <c r="C373" s="1"/>
      <c r="D373" s="1"/>
      <c r="E373" s="1"/>
      <c r="K373" s="209"/>
      <c r="M373" s="364"/>
      <c r="O373" s="449"/>
    </row>
    <row r="374" spans="2:15" s="173" customFormat="1" ht="25.5" customHeight="1">
      <c r="B374" s="122"/>
      <c r="C374" s="1"/>
      <c r="D374" s="1"/>
      <c r="E374" s="1"/>
      <c r="K374" s="209"/>
      <c r="M374" s="364"/>
      <c r="O374" s="449"/>
    </row>
    <row r="375" spans="2:15" s="173" customFormat="1" ht="25.5" customHeight="1">
      <c r="B375" s="122"/>
      <c r="C375" s="1"/>
      <c r="D375" s="1"/>
      <c r="E375" s="1"/>
      <c r="K375" s="209"/>
      <c r="M375" s="364"/>
      <c r="O375" s="449"/>
    </row>
    <row r="376" spans="2:15" s="173" customFormat="1" ht="25.5" customHeight="1">
      <c r="B376" s="122"/>
      <c r="C376" s="1"/>
      <c r="D376" s="1"/>
      <c r="E376" s="1"/>
      <c r="K376" s="209"/>
      <c r="M376" s="364"/>
      <c r="O376" s="449"/>
    </row>
    <row r="377" spans="2:15" s="173" customFormat="1" ht="25.5" customHeight="1">
      <c r="B377" s="122"/>
      <c r="C377" s="1"/>
      <c r="D377" s="1"/>
      <c r="E377" s="1"/>
      <c r="K377" s="209"/>
      <c r="M377" s="364"/>
      <c r="O377" s="449"/>
    </row>
    <row r="378" spans="2:15" s="173" customFormat="1" ht="25.5" customHeight="1">
      <c r="B378" s="122"/>
      <c r="C378" s="1"/>
      <c r="D378" s="1"/>
      <c r="E378" s="1"/>
      <c r="K378" s="209"/>
      <c r="M378" s="364"/>
      <c r="O378" s="449"/>
    </row>
    <row r="379" spans="2:15" s="173" customFormat="1" ht="25.5" customHeight="1">
      <c r="B379" s="122"/>
      <c r="C379" s="1"/>
      <c r="D379" s="1"/>
      <c r="E379" s="1"/>
      <c r="K379" s="209"/>
      <c r="M379" s="364"/>
      <c r="O379" s="449"/>
    </row>
    <row r="380" spans="2:15" s="173" customFormat="1" ht="25.5" customHeight="1">
      <c r="B380" s="122"/>
      <c r="C380" s="1"/>
      <c r="D380" s="1"/>
      <c r="E380" s="1"/>
      <c r="K380" s="209"/>
      <c r="M380" s="364"/>
      <c r="O380" s="449"/>
    </row>
    <row r="381" spans="2:15" s="173" customFormat="1" ht="25.5" customHeight="1">
      <c r="B381" s="122"/>
      <c r="C381" s="1"/>
      <c r="D381" s="1"/>
      <c r="E381" s="1"/>
      <c r="K381" s="209"/>
      <c r="M381" s="364"/>
      <c r="O381" s="449"/>
    </row>
    <row r="382" spans="2:15" s="173" customFormat="1" ht="25.5" customHeight="1">
      <c r="B382" s="122"/>
      <c r="C382" s="1"/>
      <c r="D382" s="1"/>
      <c r="E382" s="1"/>
      <c r="K382" s="209"/>
      <c r="M382" s="364"/>
      <c r="O382" s="449"/>
    </row>
    <row r="383" spans="2:15" s="173" customFormat="1" ht="25.5" customHeight="1">
      <c r="B383" s="122"/>
      <c r="C383" s="1"/>
      <c r="D383" s="1"/>
      <c r="E383" s="1"/>
      <c r="K383" s="209"/>
      <c r="M383" s="364"/>
      <c r="O383" s="449"/>
    </row>
    <row r="384" spans="2:15" s="173" customFormat="1" ht="25.5" customHeight="1">
      <c r="B384" s="122"/>
      <c r="C384" s="1"/>
      <c r="D384" s="1"/>
      <c r="E384" s="1"/>
      <c r="K384" s="209"/>
      <c r="M384" s="364"/>
      <c r="O384" s="449"/>
    </row>
    <row r="385" spans="2:15" s="173" customFormat="1" ht="25.5" customHeight="1">
      <c r="B385" s="122"/>
      <c r="C385" s="1"/>
      <c r="D385" s="1"/>
      <c r="E385" s="1"/>
      <c r="K385" s="209"/>
      <c r="M385" s="364"/>
      <c r="O385" s="449"/>
    </row>
    <row r="386" spans="2:15" s="173" customFormat="1" ht="25.5" customHeight="1">
      <c r="B386" s="122"/>
      <c r="C386" s="1"/>
      <c r="D386" s="1"/>
      <c r="E386" s="1"/>
      <c r="K386" s="209"/>
      <c r="M386" s="364"/>
      <c r="O386" s="449"/>
    </row>
    <row r="387" spans="2:15" s="173" customFormat="1" ht="25.5" customHeight="1">
      <c r="B387" s="122"/>
      <c r="C387" s="1"/>
      <c r="D387" s="1"/>
      <c r="E387" s="1"/>
      <c r="K387" s="209"/>
      <c r="M387" s="364"/>
      <c r="O387" s="449"/>
    </row>
    <row r="388" spans="2:15" s="173" customFormat="1" ht="25.5" customHeight="1">
      <c r="B388" s="122"/>
      <c r="C388" s="1"/>
      <c r="D388" s="1"/>
      <c r="E388" s="1"/>
      <c r="K388" s="209"/>
      <c r="M388" s="364"/>
      <c r="O388" s="449"/>
    </row>
    <row r="389" spans="2:15" s="173" customFormat="1" ht="25.5" customHeight="1">
      <c r="B389" s="122"/>
      <c r="C389" s="1"/>
      <c r="D389" s="1"/>
      <c r="E389" s="1"/>
      <c r="K389" s="209"/>
      <c r="M389" s="364"/>
      <c r="O389" s="449"/>
    </row>
    <row r="390" spans="2:15" s="173" customFormat="1" ht="25.5" customHeight="1">
      <c r="B390" s="122"/>
      <c r="C390" s="1"/>
      <c r="D390" s="1"/>
      <c r="E390" s="1"/>
      <c r="K390" s="209"/>
      <c r="M390" s="364"/>
      <c r="O390" s="449"/>
    </row>
    <row r="391" spans="2:15" s="173" customFormat="1" ht="25.5" customHeight="1">
      <c r="B391" s="122"/>
      <c r="C391" s="1"/>
      <c r="D391" s="1"/>
      <c r="E391" s="1"/>
      <c r="K391" s="209"/>
      <c r="M391" s="364"/>
      <c r="O391" s="449"/>
    </row>
    <row r="392" spans="2:15" s="173" customFormat="1" ht="25.5" customHeight="1">
      <c r="B392" s="122"/>
      <c r="C392" s="1"/>
      <c r="D392" s="1"/>
      <c r="E392" s="1"/>
      <c r="K392" s="209"/>
      <c r="M392" s="364"/>
      <c r="O392" s="449"/>
    </row>
    <row r="393" spans="2:15" s="173" customFormat="1" ht="25.5" customHeight="1">
      <c r="B393" s="122"/>
      <c r="C393" s="1"/>
      <c r="D393" s="1"/>
      <c r="E393" s="1"/>
      <c r="K393" s="209"/>
      <c r="M393" s="364"/>
      <c r="O393" s="449"/>
    </row>
    <row r="394" spans="2:15" s="173" customFormat="1" ht="25.5" customHeight="1">
      <c r="B394" s="122"/>
      <c r="C394" s="1"/>
      <c r="D394" s="1"/>
      <c r="E394" s="1"/>
      <c r="K394" s="209"/>
      <c r="M394" s="364"/>
      <c r="O394" s="449"/>
    </row>
    <row r="395" spans="2:15" s="173" customFormat="1" ht="25.5" customHeight="1">
      <c r="B395" s="122"/>
      <c r="C395" s="1"/>
      <c r="D395" s="1"/>
      <c r="E395" s="1"/>
      <c r="K395" s="209"/>
      <c r="M395" s="364"/>
      <c r="O395" s="449"/>
    </row>
    <row r="396" spans="2:15" s="173" customFormat="1" ht="25.5" customHeight="1">
      <c r="B396" s="122"/>
      <c r="C396" s="1"/>
      <c r="D396" s="1"/>
      <c r="E396" s="1"/>
      <c r="K396" s="209"/>
      <c r="M396" s="364"/>
      <c r="O396" s="449"/>
    </row>
    <row r="397" spans="2:15" s="173" customFormat="1" ht="25.5" customHeight="1">
      <c r="B397" s="122"/>
      <c r="C397" s="1"/>
      <c r="D397" s="1"/>
      <c r="E397" s="1"/>
      <c r="K397" s="209"/>
      <c r="M397" s="364"/>
      <c r="O397" s="449"/>
    </row>
    <row r="398" spans="2:15" s="173" customFormat="1" ht="25.5" customHeight="1">
      <c r="B398" s="122"/>
      <c r="C398" s="1"/>
      <c r="D398" s="1"/>
      <c r="E398" s="1"/>
      <c r="K398" s="209"/>
      <c r="M398" s="364"/>
      <c r="O398" s="449"/>
    </row>
    <row r="399" spans="2:15" s="173" customFormat="1" ht="25.5" customHeight="1">
      <c r="B399" s="122"/>
      <c r="C399" s="1"/>
      <c r="D399" s="1"/>
      <c r="E399" s="1"/>
      <c r="K399" s="209"/>
      <c r="M399" s="364"/>
      <c r="O399" s="449"/>
    </row>
    <row r="400" spans="2:15" s="173" customFormat="1" ht="25.5" customHeight="1">
      <c r="B400" s="122"/>
      <c r="C400" s="1"/>
      <c r="D400" s="1"/>
      <c r="E400" s="1"/>
      <c r="K400" s="209"/>
      <c r="M400" s="364"/>
      <c r="O400" s="449"/>
    </row>
    <row r="401" spans="2:15" s="173" customFormat="1" ht="25.5" customHeight="1">
      <c r="B401" s="122"/>
      <c r="C401" s="1"/>
      <c r="D401" s="1"/>
      <c r="E401" s="1"/>
      <c r="K401" s="209"/>
      <c r="M401" s="364"/>
      <c r="O401" s="449"/>
    </row>
    <row r="402" spans="2:15" s="173" customFormat="1" ht="25.5" customHeight="1">
      <c r="B402" s="122"/>
      <c r="C402" s="1"/>
      <c r="D402" s="1"/>
      <c r="E402" s="1"/>
      <c r="K402" s="209"/>
      <c r="M402" s="364"/>
      <c r="O402" s="449"/>
    </row>
    <row r="403" spans="2:15" s="173" customFormat="1" ht="25.5" customHeight="1">
      <c r="B403" s="122"/>
      <c r="C403" s="1"/>
      <c r="D403" s="1"/>
      <c r="E403" s="1"/>
      <c r="K403" s="209"/>
      <c r="M403" s="364"/>
      <c r="O403" s="449"/>
    </row>
    <row r="404" spans="2:15" s="173" customFormat="1" ht="25.5" customHeight="1">
      <c r="B404" s="122"/>
      <c r="C404" s="1"/>
      <c r="D404" s="1"/>
      <c r="E404" s="1"/>
      <c r="K404" s="209"/>
      <c r="M404" s="364"/>
      <c r="O404" s="449"/>
    </row>
    <row r="405" spans="2:15" s="173" customFormat="1" ht="25.5" customHeight="1">
      <c r="B405" s="122"/>
      <c r="C405" s="1"/>
      <c r="D405" s="1"/>
      <c r="E405" s="1"/>
      <c r="K405" s="209"/>
      <c r="M405" s="364"/>
      <c r="O405" s="449"/>
    </row>
    <row r="406" spans="2:15" s="173" customFormat="1" ht="25.5" customHeight="1">
      <c r="B406" s="122"/>
      <c r="C406" s="1"/>
      <c r="D406" s="1"/>
      <c r="E406" s="1"/>
      <c r="K406" s="209"/>
      <c r="M406" s="364"/>
      <c r="O406" s="449"/>
    </row>
    <row r="407" spans="2:15" s="173" customFormat="1" ht="25.5" customHeight="1">
      <c r="B407" s="122"/>
      <c r="C407" s="1"/>
      <c r="D407" s="1"/>
      <c r="E407" s="1"/>
      <c r="K407" s="209"/>
      <c r="M407" s="364"/>
      <c r="O407" s="449"/>
    </row>
    <row r="408" spans="2:15" s="173" customFormat="1" ht="25.5" customHeight="1">
      <c r="B408" s="122"/>
      <c r="C408" s="1"/>
      <c r="D408" s="1"/>
      <c r="E408" s="1"/>
      <c r="K408" s="209"/>
      <c r="M408" s="364"/>
      <c r="O408" s="449"/>
    </row>
    <row r="409" spans="2:15" s="173" customFormat="1" ht="25.5" customHeight="1">
      <c r="B409" s="122"/>
      <c r="C409" s="1"/>
      <c r="D409" s="1"/>
      <c r="E409" s="1"/>
      <c r="K409" s="209"/>
      <c r="M409" s="364"/>
      <c r="O409" s="449"/>
    </row>
    <row r="410" spans="2:15" s="173" customFormat="1" ht="25.5" customHeight="1">
      <c r="B410" s="122"/>
      <c r="C410" s="1"/>
      <c r="D410" s="1"/>
      <c r="E410" s="1"/>
      <c r="K410" s="209"/>
      <c r="M410" s="364"/>
      <c r="O410" s="449"/>
    </row>
    <row r="411" spans="2:15" s="173" customFormat="1" ht="25.5" customHeight="1">
      <c r="B411" s="122"/>
      <c r="C411" s="1"/>
      <c r="D411" s="1"/>
      <c r="E411" s="1"/>
      <c r="K411" s="209"/>
      <c r="M411" s="364"/>
      <c r="O411" s="449"/>
    </row>
    <row r="412" spans="2:15" s="173" customFormat="1" ht="25.5" customHeight="1">
      <c r="B412" s="122"/>
      <c r="C412" s="1"/>
      <c r="D412" s="1"/>
      <c r="E412" s="1"/>
      <c r="K412" s="209"/>
      <c r="M412" s="364"/>
      <c r="O412" s="449"/>
    </row>
    <row r="413" spans="2:15" s="173" customFormat="1" ht="25.5" customHeight="1">
      <c r="B413" s="122"/>
      <c r="C413" s="1"/>
      <c r="D413" s="1"/>
      <c r="E413" s="1"/>
      <c r="K413" s="209"/>
      <c r="M413" s="364"/>
      <c r="O413" s="449"/>
    </row>
    <row r="414" spans="2:15" s="173" customFormat="1" ht="25.5" customHeight="1">
      <c r="B414" s="122"/>
      <c r="C414" s="1"/>
      <c r="D414" s="1"/>
      <c r="E414" s="1"/>
      <c r="K414" s="209"/>
      <c r="M414" s="364"/>
      <c r="O414" s="449"/>
    </row>
    <row r="415" spans="2:15" s="173" customFormat="1" ht="25.5" customHeight="1">
      <c r="B415" s="122"/>
      <c r="C415" s="1"/>
      <c r="D415" s="1"/>
      <c r="E415" s="1"/>
      <c r="K415" s="209"/>
      <c r="M415" s="364"/>
      <c r="O415" s="449"/>
    </row>
    <row r="416" spans="2:15" s="173" customFormat="1" ht="25.5" customHeight="1">
      <c r="B416" s="122"/>
      <c r="C416" s="1"/>
      <c r="D416" s="1"/>
      <c r="E416" s="1"/>
      <c r="K416" s="209"/>
      <c r="M416" s="364"/>
      <c r="O416" s="449"/>
    </row>
    <row r="417" spans="2:15" s="173" customFormat="1" ht="25.5" customHeight="1">
      <c r="B417" s="122"/>
      <c r="C417" s="1"/>
      <c r="D417" s="1"/>
      <c r="E417" s="1"/>
      <c r="K417" s="209"/>
      <c r="M417" s="364"/>
      <c r="O417" s="449"/>
    </row>
    <row r="418" spans="2:15" s="173" customFormat="1" ht="25.5" customHeight="1">
      <c r="B418" s="122"/>
      <c r="C418" s="1"/>
      <c r="D418" s="1"/>
      <c r="E418" s="1"/>
      <c r="K418" s="209"/>
      <c r="M418" s="364"/>
      <c r="O418" s="449"/>
    </row>
    <row r="419" spans="2:15" s="173" customFormat="1" ht="25.5" customHeight="1">
      <c r="B419" s="122"/>
      <c r="C419" s="1"/>
      <c r="D419" s="1"/>
      <c r="E419" s="1"/>
      <c r="K419" s="209"/>
      <c r="M419" s="364"/>
      <c r="O419" s="449"/>
    </row>
    <row r="420" spans="2:15" s="173" customFormat="1" ht="25.5" customHeight="1">
      <c r="B420" s="122"/>
      <c r="C420" s="1"/>
      <c r="D420" s="1"/>
      <c r="E420" s="1"/>
      <c r="K420" s="209"/>
      <c r="M420" s="364"/>
      <c r="O420" s="449"/>
    </row>
    <row r="421" spans="2:15" s="173" customFormat="1" ht="25.5" customHeight="1">
      <c r="B421" s="122"/>
      <c r="C421" s="1"/>
      <c r="D421" s="1"/>
      <c r="E421" s="1"/>
      <c r="K421" s="209"/>
      <c r="M421" s="364"/>
      <c r="O421" s="449"/>
    </row>
    <row r="422" spans="2:15" s="173" customFormat="1" ht="25.5" customHeight="1">
      <c r="B422" s="122"/>
      <c r="C422" s="1"/>
      <c r="D422" s="1"/>
      <c r="E422" s="1"/>
      <c r="K422" s="209"/>
      <c r="M422" s="364"/>
      <c r="O422" s="449"/>
    </row>
    <row r="423" spans="2:15" s="173" customFormat="1" ht="25.5" customHeight="1">
      <c r="B423" s="122"/>
      <c r="C423" s="1"/>
      <c r="D423" s="1"/>
      <c r="E423" s="1"/>
      <c r="K423" s="209"/>
      <c r="M423" s="364"/>
      <c r="O423" s="449"/>
    </row>
    <row r="424" spans="2:15" s="173" customFormat="1" ht="25.5" customHeight="1">
      <c r="B424" s="122"/>
      <c r="C424" s="1"/>
      <c r="D424" s="1"/>
      <c r="E424" s="1"/>
      <c r="K424" s="209"/>
      <c r="M424" s="364"/>
      <c r="O424" s="449"/>
    </row>
    <row r="425" spans="2:15" s="173" customFormat="1" ht="25.5" customHeight="1">
      <c r="B425" s="122"/>
      <c r="C425" s="1"/>
      <c r="D425" s="1"/>
      <c r="E425" s="1"/>
      <c r="K425" s="209"/>
      <c r="M425" s="364"/>
      <c r="O425" s="449"/>
    </row>
    <row r="426" spans="2:15" s="173" customFormat="1" ht="25.5" customHeight="1">
      <c r="B426" s="122"/>
      <c r="C426" s="1"/>
      <c r="D426" s="1"/>
      <c r="E426" s="1"/>
      <c r="K426" s="209"/>
      <c r="M426" s="364"/>
      <c r="O426" s="449"/>
    </row>
    <row r="427" spans="2:15" s="173" customFormat="1" ht="25.5" customHeight="1">
      <c r="B427" s="122"/>
      <c r="C427" s="1"/>
      <c r="D427" s="1"/>
      <c r="E427" s="1"/>
      <c r="K427" s="209"/>
      <c r="M427" s="364"/>
      <c r="O427" s="449"/>
    </row>
    <row r="428" spans="2:15" s="173" customFormat="1" ht="25.5" customHeight="1">
      <c r="B428" s="122"/>
      <c r="C428" s="1"/>
      <c r="D428" s="1"/>
      <c r="E428" s="1"/>
      <c r="K428" s="209"/>
      <c r="M428" s="364"/>
      <c r="O428" s="449"/>
    </row>
    <row r="429" spans="2:15" s="173" customFormat="1" ht="25.5" customHeight="1">
      <c r="B429" s="122"/>
      <c r="C429" s="1"/>
      <c r="D429" s="1"/>
      <c r="E429" s="1"/>
      <c r="K429" s="209"/>
      <c r="M429" s="364"/>
      <c r="O429" s="449"/>
    </row>
    <row r="430" spans="2:15" s="173" customFormat="1" ht="25.5" customHeight="1">
      <c r="B430" s="122"/>
      <c r="C430" s="1"/>
      <c r="D430" s="1"/>
      <c r="E430" s="1"/>
      <c r="K430" s="209"/>
      <c r="M430" s="364"/>
      <c r="O430" s="449"/>
    </row>
    <row r="431" spans="2:15" s="173" customFormat="1" ht="25.5" customHeight="1">
      <c r="B431" s="122"/>
      <c r="C431" s="1"/>
      <c r="D431" s="1"/>
      <c r="E431" s="1"/>
      <c r="K431" s="209"/>
      <c r="M431" s="364"/>
      <c r="O431" s="449"/>
    </row>
    <row r="432" spans="2:15" s="173" customFormat="1" ht="25.5" customHeight="1">
      <c r="B432" s="122"/>
      <c r="C432" s="1"/>
      <c r="D432" s="1"/>
      <c r="E432" s="1"/>
      <c r="K432" s="209"/>
      <c r="M432" s="364"/>
      <c r="O432" s="449"/>
    </row>
    <row r="433" spans="2:15" s="173" customFormat="1" ht="25.5" customHeight="1">
      <c r="B433" s="122"/>
      <c r="C433" s="1"/>
      <c r="D433" s="1"/>
      <c r="E433" s="1"/>
      <c r="K433" s="209"/>
      <c r="M433" s="364"/>
      <c r="O433" s="449"/>
    </row>
    <row r="434" spans="2:15" s="173" customFormat="1" ht="25.5" customHeight="1">
      <c r="B434" s="122"/>
      <c r="C434" s="1"/>
      <c r="D434" s="1"/>
      <c r="E434" s="1"/>
      <c r="K434" s="209"/>
      <c r="M434" s="364"/>
      <c r="O434" s="449"/>
    </row>
    <row r="435" spans="2:15" s="173" customFormat="1" ht="25.5" customHeight="1">
      <c r="B435" s="122"/>
      <c r="C435" s="1"/>
      <c r="D435" s="1"/>
      <c r="E435" s="1"/>
      <c r="K435" s="209"/>
      <c r="M435" s="364"/>
      <c r="O435" s="449"/>
    </row>
    <row r="436" spans="2:15" s="173" customFormat="1" ht="25.5" customHeight="1">
      <c r="B436" s="122"/>
      <c r="C436" s="1"/>
      <c r="D436" s="1"/>
      <c r="E436" s="1"/>
      <c r="K436" s="209"/>
      <c r="M436" s="364"/>
      <c r="O436" s="449"/>
    </row>
    <row r="437" spans="2:15" s="173" customFormat="1" ht="25.5" customHeight="1">
      <c r="B437" s="122"/>
      <c r="C437" s="1"/>
      <c r="D437" s="1"/>
      <c r="E437" s="1"/>
      <c r="K437" s="209"/>
      <c r="M437" s="364"/>
      <c r="O437" s="449"/>
    </row>
    <row r="438" spans="2:15" s="173" customFormat="1" ht="25.5" customHeight="1">
      <c r="B438" s="122"/>
      <c r="C438" s="1"/>
      <c r="D438" s="1"/>
      <c r="E438" s="1"/>
      <c r="K438" s="209"/>
      <c r="M438" s="364"/>
      <c r="O438" s="449"/>
    </row>
    <row r="439" spans="2:15" s="173" customFormat="1" ht="25.5" customHeight="1">
      <c r="B439" s="122"/>
      <c r="C439" s="1"/>
      <c r="D439" s="1"/>
      <c r="E439" s="1"/>
      <c r="K439" s="209"/>
      <c r="M439" s="364"/>
      <c r="O439" s="449"/>
    </row>
    <row r="440" spans="2:15" s="173" customFormat="1" ht="25.5" customHeight="1">
      <c r="B440" s="122"/>
      <c r="C440" s="1"/>
      <c r="D440" s="1"/>
      <c r="E440" s="1"/>
      <c r="K440" s="209"/>
      <c r="M440" s="364"/>
      <c r="O440" s="449"/>
    </row>
    <row r="441" spans="2:15" s="173" customFormat="1" ht="25.5" customHeight="1">
      <c r="B441" s="122"/>
      <c r="C441" s="1"/>
      <c r="D441" s="1"/>
      <c r="E441" s="1"/>
      <c r="K441" s="209"/>
      <c r="M441" s="364"/>
      <c r="O441" s="449"/>
    </row>
    <row r="442" spans="2:15" s="173" customFormat="1" ht="25.5" customHeight="1">
      <c r="B442" s="122"/>
      <c r="C442" s="1"/>
      <c r="D442" s="1"/>
      <c r="E442" s="1"/>
      <c r="K442" s="209"/>
      <c r="M442" s="364"/>
      <c r="O442" s="449"/>
    </row>
    <row r="443" spans="2:15" s="173" customFormat="1" ht="25.5" customHeight="1">
      <c r="B443" s="122"/>
      <c r="C443" s="1"/>
      <c r="D443" s="1"/>
      <c r="E443" s="1"/>
      <c r="K443" s="209"/>
      <c r="M443" s="364"/>
      <c r="O443" s="449"/>
    </row>
    <row r="444" spans="2:15" s="173" customFormat="1" ht="25.5" customHeight="1">
      <c r="B444" s="122"/>
      <c r="C444" s="1"/>
      <c r="D444" s="1"/>
      <c r="E444" s="1"/>
      <c r="K444" s="209"/>
      <c r="M444" s="364"/>
      <c r="O444" s="449"/>
    </row>
    <row r="445" spans="2:15" s="173" customFormat="1" ht="25.5" customHeight="1">
      <c r="B445" s="122"/>
      <c r="C445" s="1"/>
      <c r="D445" s="1"/>
      <c r="E445" s="1"/>
      <c r="K445" s="209"/>
      <c r="M445" s="364"/>
      <c r="O445" s="449"/>
    </row>
    <row r="446" spans="2:15" s="173" customFormat="1" ht="25.5" customHeight="1">
      <c r="B446" s="122"/>
      <c r="C446" s="1"/>
      <c r="D446" s="1"/>
      <c r="E446" s="1"/>
      <c r="K446" s="209"/>
      <c r="M446" s="364"/>
      <c r="O446" s="449"/>
    </row>
    <row r="447" spans="2:15" s="173" customFormat="1" ht="25.5" customHeight="1">
      <c r="B447" s="122"/>
      <c r="C447" s="1"/>
      <c r="D447" s="1"/>
      <c r="E447" s="1"/>
      <c r="K447" s="209"/>
      <c r="M447" s="364"/>
      <c r="O447" s="449"/>
    </row>
    <row r="448" spans="2:15" s="173" customFormat="1" ht="25.5" customHeight="1">
      <c r="B448" s="122"/>
      <c r="C448" s="1"/>
      <c r="D448" s="1"/>
      <c r="E448" s="1"/>
      <c r="K448" s="209"/>
      <c r="M448" s="364"/>
      <c r="O448" s="449"/>
    </row>
    <row r="449" spans="2:15" s="173" customFormat="1" ht="25.5" customHeight="1">
      <c r="B449" s="122"/>
      <c r="C449" s="1"/>
      <c r="D449" s="1"/>
      <c r="E449" s="1"/>
      <c r="K449" s="209"/>
      <c r="M449" s="364"/>
      <c r="O449" s="449"/>
    </row>
    <row r="450" spans="2:15" s="173" customFormat="1" ht="25.5" customHeight="1">
      <c r="B450" s="122"/>
      <c r="C450" s="1"/>
      <c r="D450" s="1"/>
      <c r="E450" s="1"/>
      <c r="K450" s="209"/>
      <c r="M450" s="364"/>
      <c r="O450" s="449"/>
    </row>
    <row r="451" spans="2:15" s="173" customFormat="1" ht="25.5" customHeight="1">
      <c r="B451" s="122"/>
      <c r="C451" s="1"/>
      <c r="D451" s="1"/>
      <c r="E451" s="1"/>
      <c r="K451" s="209"/>
      <c r="M451" s="364"/>
      <c r="O451" s="449"/>
    </row>
    <row r="452" spans="2:15" s="173" customFormat="1" ht="25.5" customHeight="1">
      <c r="B452" s="122"/>
      <c r="C452" s="1"/>
      <c r="D452" s="1"/>
      <c r="E452" s="1"/>
      <c r="K452" s="209"/>
      <c r="M452" s="364"/>
      <c r="O452" s="449"/>
    </row>
    <row r="453" spans="2:15" s="173" customFormat="1" ht="25.5" customHeight="1">
      <c r="B453" s="122"/>
      <c r="C453" s="1"/>
      <c r="D453" s="1"/>
      <c r="E453" s="1"/>
      <c r="K453" s="209"/>
      <c r="M453" s="364"/>
      <c r="O453" s="449"/>
    </row>
    <row r="454" spans="2:15" s="173" customFormat="1" ht="25.5" customHeight="1">
      <c r="B454" s="122"/>
      <c r="C454" s="1"/>
      <c r="D454" s="1"/>
      <c r="E454" s="1"/>
      <c r="K454" s="209"/>
      <c r="M454" s="364"/>
      <c r="O454" s="449"/>
    </row>
    <row r="455" spans="2:15" s="173" customFormat="1" ht="25.5" customHeight="1">
      <c r="B455" s="122"/>
      <c r="C455" s="1"/>
      <c r="D455" s="1"/>
      <c r="E455" s="1"/>
      <c r="K455" s="209"/>
      <c r="M455" s="364"/>
      <c r="O455" s="449"/>
    </row>
    <row r="456" spans="2:15" s="173" customFormat="1" ht="25.5" customHeight="1">
      <c r="B456" s="122"/>
      <c r="C456" s="1"/>
      <c r="D456" s="1"/>
      <c r="E456" s="1"/>
      <c r="K456" s="209"/>
      <c r="M456" s="364"/>
      <c r="O456" s="449"/>
    </row>
    <row r="457" spans="2:15" s="173" customFormat="1" ht="25.5" customHeight="1">
      <c r="B457" s="122"/>
      <c r="C457" s="1"/>
      <c r="D457" s="1"/>
      <c r="E457" s="1"/>
      <c r="K457" s="209"/>
      <c r="M457" s="364"/>
      <c r="O457" s="449"/>
    </row>
    <row r="458" spans="2:15" s="173" customFormat="1" ht="25.5" customHeight="1">
      <c r="B458" s="122"/>
      <c r="C458" s="1"/>
      <c r="D458" s="1"/>
      <c r="E458" s="1"/>
      <c r="K458" s="209"/>
      <c r="M458" s="364"/>
      <c r="O458" s="449"/>
    </row>
    <row r="459" spans="2:15" s="173" customFormat="1" ht="25.5" customHeight="1">
      <c r="B459" s="122"/>
      <c r="C459" s="1"/>
      <c r="D459" s="1"/>
      <c r="E459" s="1"/>
      <c r="K459" s="209"/>
      <c r="M459" s="364"/>
      <c r="O459" s="449"/>
    </row>
    <row r="460" spans="2:15" s="173" customFormat="1" ht="25.5" customHeight="1">
      <c r="B460" s="122"/>
      <c r="C460" s="1"/>
      <c r="D460" s="1"/>
      <c r="E460" s="1"/>
      <c r="K460" s="209"/>
      <c r="M460" s="364"/>
      <c r="O460" s="449"/>
    </row>
    <row r="461" spans="2:15" s="173" customFormat="1" ht="25.5" customHeight="1">
      <c r="B461" s="122"/>
      <c r="C461" s="1"/>
      <c r="D461" s="1"/>
      <c r="E461" s="1"/>
      <c r="K461" s="209"/>
      <c r="M461" s="364"/>
      <c r="O461" s="449"/>
    </row>
    <row r="462" spans="2:15" s="173" customFormat="1" ht="25.5" customHeight="1">
      <c r="B462" s="122"/>
      <c r="C462" s="1"/>
      <c r="D462" s="1"/>
      <c r="E462" s="1"/>
      <c r="K462" s="209"/>
      <c r="M462" s="364"/>
      <c r="O462" s="449"/>
    </row>
    <row r="463" spans="2:15" s="173" customFormat="1" ht="25.5" customHeight="1">
      <c r="B463" s="122"/>
      <c r="C463" s="1"/>
      <c r="D463" s="1"/>
      <c r="E463" s="1"/>
      <c r="K463" s="209"/>
      <c r="M463" s="364"/>
      <c r="O463" s="449"/>
    </row>
    <row r="464" spans="2:15" s="173" customFormat="1" ht="25.5" customHeight="1">
      <c r="B464" s="122"/>
      <c r="C464" s="1"/>
      <c r="D464" s="1"/>
      <c r="E464" s="1"/>
      <c r="K464" s="209"/>
      <c r="M464" s="364"/>
      <c r="O464" s="449"/>
    </row>
    <row r="465" spans="2:15" s="173" customFormat="1" ht="25.5" customHeight="1">
      <c r="B465" s="122"/>
      <c r="C465" s="1"/>
      <c r="D465" s="1"/>
      <c r="E465" s="1"/>
      <c r="K465" s="209"/>
      <c r="M465" s="364"/>
      <c r="O465" s="449"/>
    </row>
    <row r="466" spans="2:15" s="173" customFormat="1" ht="25.5" customHeight="1">
      <c r="B466" s="122"/>
      <c r="C466" s="1"/>
      <c r="D466" s="1"/>
      <c r="E466" s="1"/>
      <c r="K466" s="209"/>
      <c r="M466" s="364"/>
      <c r="O466" s="449"/>
    </row>
    <row r="467" spans="2:15" s="173" customFormat="1" ht="25.5" customHeight="1">
      <c r="B467" s="122"/>
      <c r="C467" s="1"/>
      <c r="D467" s="1"/>
      <c r="E467" s="1"/>
      <c r="K467" s="209"/>
      <c r="M467" s="364"/>
      <c r="O467" s="449"/>
    </row>
    <row r="468" spans="2:15" s="173" customFormat="1" ht="25.5" customHeight="1">
      <c r="B468" s="122"/>
      <c r="C468" s="1"/>
      <c r="D468" s="1"/>
      <c r="E468" s="1"/>
      <c r="K468" s="209"/>
      <c r="M468" s="364"/>
      <c r="O468" s="449"/>
    </row>
    <row r="469" spans="2:15" s="173" customFormat="1" ht="25.5" customHeight="1">
      <c r="B469" s="122"/>
      <c r="C469" s="1"/>
      <c r="D469" s="1"/>
      <c r="E469" s="1"/>
      <c r="K469" s="209"/>
      <c r="M469" s="364"/>
      <c r="O469" s="449"/>
    </row>
    <row r="470" spans="2:15" s="173" customFormat="1" ht="25.5" customHeight="1">
      <c r="B470" s="122"/>
      <c r="C470" s="1"/>
      <c r="D470" s="1"/>
      <c r="E470" s="1"/>
      <c r="K470" s="209"/>
      <c r="M470" s="364"/>
      <c r="O470" s="449"/>
    </row>
    <row r="471" spans="2:15" s="173" customFormat="1" ht="25.5" customHeight="1">
      <c r="B471" s="122"/>
      <c r="C471" s="1"/>
      <c r="D471" s="1"/>
      <c r="E471" s="1"/>
      <c r="K471" s="209"/>
      <c r="M471" s="364"/>
      <c r="O471" s="449"/>
    </row>
    <row r="472" spans="2:15" s="173" customFormat="1" ht="25.5" customHeight="1">
      <c r="B472" s="122"/>
      <c r="C472" s="1"/>
      <c r="D472" s="1"/>
      <c r="E472" s="1"/>
      <c r="K472" s="209"/>
      <c r="M472" s="364"/>
      <c r="O472" s="449"/>
    </row>
    <row r="473" spans="2:15" s="173" customFormat="1" ht="25.5" customHeight="1">
      <c r="B473" s="122"/>
      <c r="C473" s="1"/>
      <c r="D473" s="1"/>
      <c r="E473" s="1"/>
      <c r="K473" s="209"/>
      <c r="M473" s="364"/>
      <c r="O473" s="449"/>
    </row>
    <row r="474" spans="2:15" s="173" customFormat="1" ht="25.5" customHeight="1">
      <c r="B474" s="122"/>
      <c r="C474" s="1"/>
      <c r="D474" s="1"/>
      <c r="E474" s="1"/>
      <c r="K474" s="209"/>
      <c r="M474" s="364"/>
      <c r="O474" s="449"/>
    </row>
    <row r="475" spans="2:15" s="173" customFormat="1" ht="25.5" customHeight="1">
      <c r="B475" s="122"/>
      <c r="C475" s="1"/>
      <c r="D475" s="1"/>
      <c r="E475" s="1"/>
      <c r="K475" s="209"/>
      <c r="M475" s="364"/>
      <c r="O475" s="449"/>
    </row>
    <row r="476" spans="2:15" s="173" customFormat="1" ht="25.5" customHeight="1">
      <c r="B476" s="122"/>
      <c r="C476" s="1"/>
      <c r="D476" s="1"/>
      <c r="E476" s="1"/>
      <c r="K476" s="209"/>
      <c r="M476" s="364"/>
      <c r="O476" s="449"/>
    </row>
    <row r="477" spans="2:15" s="173" customFormat="1" ht="25.5" customHeight="1">
      <c r="B477" s="122"/>
      <c r="C477" s="1"/>
      <c r="D477" s="1"/>
      <c r="E477" s="1"/>
      <c r="K477" s="209"/>
      <c r="M477" s="364"/>
      <c r="O477" s="449"/>
    </row>
    <row r="478" spans="2:15" s="173" customFormat="1" ht="25.5" customHeight="1">
      <c r="B478" s="122"/>
      <c r="C478" s="1"/>
      <c r="D478" s="1"/>
      <c r="E478" s="1"/>
      <c r="K478" s="209"/>
      <c r="M478" s="364"/>
      <c r="O478" s="449"/>
    </row>
    <row r="479" spans="2:15" s="173" customFormat="1" ht="25.5" customHeight="1">
      <c r="B479" s="122"/>
      <c r="C479" s="1"/>
      <c r="D479" s="1"/>
      <c r="E479" s="1"/>
      <c r="K479" s="209"/>
      <c r="M479" s="364"/>
      <c r="O479" s="449"/>
    </row>
    <row r="480" spans="2:15" s="173" customFormat="1" ht="25.5" customHeight="1">
      <c r="B480" s="122"/>
      <c r="C480" s="1"/>
      <c r="D480" s="1"/>
      <c r="E480" s="1"/>
      <c r="K480" s="209"/>
      <c r="M480" s="364"/>
      <c r="O480" s="449"/>
    </row>
    <row r="481" spans="2:15" s="173" customFormat="1" ht="25.5" customHeight="1">
      <c r="B481" s="122"/>
      <c r="C481" s="1"/>
      <c r="D481" s="1"/>
      <c r="E481" s="1"/>
      <c r="K481" s="209"/>
      <c r="M481" s="364"/>
      <c r="O481" s="449"/>
    </row>
    <row r="482" spans="2:15" s="173" customFormat="1" ht="25.5" customHeight="1">
      <c r="B482" s="122"/>
      <c r="C482" s="1"/>
      <c r="D482" s="1"/>
      <c r="E482" s="1"/>
      <c r="K482" s="209"/>
      <c r="M482" s="364"/>
      <c r="O482" s="449"/>
    </row>
    <row r="483" spans="2:15" s="173" customFormat="1" ht="25.5" customHeight="1">
      <c r="B483" s="122"/>
      <c r="C483" s="1"/>
      <c r="D483" s="1"/>
      <c r="E483" s="1"/>
      <c r="K483" s="209"/>
      <c r="M483" s="364"/>
      <c r="O483" s="449"/>
    </row>
    <row r="484" spans="2:15" s="173" customFormat="1" ht="25.5" customHeight="1">
      <c r="B484" s="122"/>
      <c r="C484" s="1"/>
      <c r="D484" s="1"/>
      <c r="E484" s="1"/>
      <c r="K484" s="209"/>
      <c r="M484" s="364"/>
      <c r="O484" s="449"/>
    </row>
    <row r="485" spans="2:15" s="173" customFormat="1" ht="25.5" customHeight="1">
      <c r="B485" s="122"/>
      <c r="C485" s="1"/>
      <c r="D485" s="1"/>
      <c r="E485" s="1"/>
      <c r="K485" s="209"/>
      <c r="M485" s="364"/>
      <c r="O485" s="449"/>
    </row>
    <row r="486" spans="2:15" s="173" customFormat="1" ht="25.5" customHeight="1">
      <c r="B486" s="122"/>
      <c r="C486" s="1"/>
      <c r="D486" s="1"/>
      <c r="E486" s="1"/>
      <c r="K486" s="209"/>
      <c r="M486" s="364"/>
      <c r="O486" s="449"/>
    </row>
    <row r="487" spans="2:15" s="173" customFormat="1" ht="25.5" customHeight="1">
      <c r="B487" s="122"/>
      <c r="C487" s="1"/>
      <c r="D487" s="1"/>
      <c r="E487" s="1"/>
      <c r="K487" s="209"/>
      <c r="M487" s="364"/>
      <c r="O487" s="449"/>
    </row>
    <row r="488" spans="2:15" s="173" customFormat="1" ht="25.5" customHeight="1">
      <c r="B488" s="122"/>
      <c r="C488" s="1"/>
      <c r="D488" s="1"/>
      <c r="E488" s="1"/>
      <c r="K488" s="209"/>
      <c r="M488" s="364"/>
      <c r="O488" s="449"/>
    </row>
    <row r="489" spans="2:15" s="173" customFormat="1" ht="25.5" customHeight="1">
      <c r="B489" s="122"/>
      <c r="C489" s="1"/>
      <c r="D489" s="1"/>
      <c r="E489" s="1"/>
      <c r="K489" s="209"/>
      <c r="M489" s="364"/>
      <c r="O489" s="449"/>
    </row>
    <row r="490" spans="2:15" s="173" customFormat="1" ht="25.5" customHeight="1">
      <c r="B490" s="122"/>
      <c r="C490" s="1"/>
      <c r="D490" s="1"/>
      <c r="E490" s="1"/>
      <c r="K490" s="209"/>
      <c r="M490" s="364"/>
      <c r="O490" s="449"/>
    </row>
    <row r="491" spans="2:15" s="173" customFormat="1" ht="25.5" customHeight="1">
      <c r="B491" s="122"/>
      <c r="C491" s="1"/>
      <c r="D491" s="1"/>
      <c r="E491" s="1"/>
      <c r="K491" s="209"/>
      <c r="M491" s="364"/>
      <c r="O491" s="449"/>
    </row>
    <row r="492" spans="2:15" s="173" customFormat="1" ht="25.5" customHeight="1">
      <c r="B492" s="122"/>
      <c r="C492" s="1"/>
      <c r="D492" s="1"/>
      <c r="E492" s="1"/>
      <c r="K492" s="209"/>
      <c r="M492" s="364"/>
      <c r="O492" s="449"/>
    </row>
    <row r="493" spans="2:15" s="173" customFormat="1" ht="25.5" customHeight="1">
      <c r="B493" s="122"/>
      <c r="C493" s="1"/>
      <c r="D493" s="1"/>
      <c r="E493" s="1"/>
      <c r="K493" s="209"/>
      <c r="M493" s="364"/>
      <c r="O493" s="449"/>
    </row>
    <row r="494" spans="2:15" s="173" customFormat="1" ht="25.5" customHeight="1">
      <c r="B494" s="122"/>
      <c r="C494" s="1"/>
      <c r="D494" s="1"/>
      <c r="E494" s="1"/>
      <c r="K494" s="209"/>
      <c r="M494" s="364"/>
      <c r="O494" s="449"/>
    </row>
    <row r="495" spans="2:15" s="173" customFormat="1" ht="25.5" customHeight="1">
      <c r="B495" s="122"/>
      <c r="C495" s="1"/>
      <c r="D495" s="1"/>
      <c r="E495" s="1"/>
      <c r="K495" s="209"/>
      <c r="M495" s="364"/>
      <c r="O495" s="449"/>
    </row>
    <row r="496" spans="2:15" s="173" customFormat="1" ht="25.5" customHeight="1">
      <c r="B496" s="122"/>
      <c r="C496" s="1"/>
      <c r="D496" s="1"/>
      <c r="E496" s="1"/>
      <c r="K496" s="209"/>
      <c r="M496" s="364"/>
      <c r="O496" s="449"/>
    </row>
    <row r="497" spans="2:15" s="173" customFormat="1" ht="25.5" customHeight="1">
      <c r="B497" s="122"/>
      <c r="C497" s="1"/>
      <c r="D497" s="1"/>
      <c r="E497" s="1"/>
      <c r="K497" s="209"/>
      <c r="M497" s="364"/>
      <c r="O497" s="449"/>
    </row>
    <row r="498" spans="2:15" s="173" customFormat="1" ht="25.5" customHeight="1">
      <c r="B498" s="122"/>
      <c r="C498" s="1"/>
      <c r="D498" s="1"/>
      <c r="E498" s="1"/>
      <c r="K498" s="209"/>
      <c r="M498" s="364"/>
      <c r="O498" s="449"/>
    </row>
    <row r="499" spans="2:15" s="173" customFormat="1" ht="25.5" customHeight="1">
      <c r="B499" s="122"/>
      <c r="C499" s="1"/>
      <c r="D499" s="1"/>
      <c r="E499" s="1"/>
      <c r="K499" s="209"/>
      <c r="M499" s="364"/>
      <c r="O499" s="449"/>
    </row>
    <row r="500" spans="2:15" s="173" customFormat="1" ht="25.5" customHeight="1">
      <c r="B500" s="122"/>
      <c r="C500" s="1"/>
      <c r="D500" s="1"/>
      <c r="E500" s="1"/>
      <c r="K500" s="209"/>
      <c r="M500" s="364"/>
      <c r="O500" s="449"/>
    </row>
    <row r="501" spans="2:15" s="173" customFormat="1" ht="25.5" customHeight="1">
      <c r="B501" s="122"/>
      <c r="C501" s="1"/>
      <c r="D501" s="1"/>
      <c r="E501" s="1"/>
      <c r="K501" s="209"/>
      <c r="M501" s="364"/>
      <c r="O501" s="449"/>
    </row>
    <row r="502" spans="2:15" s="173" customFormat="1" ht="25.5" customHeight="1">
      <c r="B502" s="122"/>
      <c r="C502" s="1"/>
      <c r="D502" s="1"/>
      <c r="E502" s="1"/>
      <c r="K502" s="209"/>
      <c r="M502" s="364"/>
      <c r="O502" s="449"/>
    </row>
    <row r="503" spans="2:15" s="173" customFormat="1" ht="25.5" customHeight="1">
      <c r="B503" s="122"/>
      <c r="C503" s="1"/>
      <c r="D503" s="1"/>
      <c r="E503" s="1"/>
      <c r="K503" s="209"/>
      <c r="M503" s="364"/>
      <c r="O503" s="449"/>
    </row>
    <row r="504" spans="2:15" s="173" customFormat="1" ht="25.5" customHeight="1">
      <c r="B504" s="122"/>
      <c r="C504" s="1"/>
      <c r="D504" s="1"/>
      <c r="E504" s="1"/>
      <c r="K504" s="209"/>
      <c r="M504" s="364"/>
      <c r="O504" s="449"/>
    </row>
    <row r="505" spans="2:15" s="173" customFormat="1" ht="25.5" customHeight="1">
      <c r="B505" s="122"/>
      <c r="C505" s="1"/>
      <c r="D505" s="1"/>
      <c r="E505" s="1"/>
      <c r="K505" s="209"/>
      <c r="M505" s="364"/>
      <c r="O505" s="449"/>
    </row>
    <row r="506" spans="2:15" s="173" customFormat="1" ht="25.5" customHeight="1">
      <c r="B506" s="122"/>
      <c r="C506" s="1"/>
      <c r="D506" s="1"/>
      <c r="E506" s="1"/>
      <c r="K506" s="209"/>
      <c r="M506" s="364"/>
      <c r="O506" s="449"/>
    </row>
    <row r="507" spans="2:15" s="173" customFormat="1" ht="25.5" customHeight="1">
      <c r="B507" s="122"/>
      <c r="C507" s="1"/>
      <c r="D507" s="1"/>
      <c r="E507" s="1"/>
      <c r="K507" s="209"/>
      <c r="M507" s="364"/>
      <c r="O507" s="449"/>
    </row>
    <row r="508" spans="2:15" s="173" customFormat="1" ht="25.5" customHeight="1">
      <c r="B508" s="122"/>
      <c r="C508" s="1"/>
      <c r="D508" s="1"/>
      <c r="E508" s="1"/>
      <c r="K508" s="209"/>
      <c r="M508" s="364"/>
      <c r="O508" s="449"/>
    </row>
    <row r="509" spans="2:15" s="173" customFormat="1" ht="25.5" customHeight="1">
      <c r="B509" s="122"/>
      <c r="C509" s="1"/>
      <c r="D509" s="1"/>
      <c r="E509" s="1"/>
      <c r="K509" s="209"/>
      <c r="M509" s="364"/>
      <c r="O509" s="449"/>
    </row>
    <row r="510" spans="2:15" s="173" customFormat="1" ht="25.5" customHeight="1">
      <c r="B510" s="122"/>
      <c r="C510" s="1"/>
      <c r="D510" s="1"/>
      <c r="E510" s="1"/>
      <c r="K510" s="209"/>
      <c r="M510" s="364"/>
      <c r="O510" s="449"/>
    </row>
    <row r="511" spans="2:15" s="173" customFormat="1" ht="25.5" customHeight="1">
      <c r="B511" s="122"/>
      <c r="C511" s="1"/>
      <c r="D511" s="1"/>
      <c r="E511" s="1"/>
      <c r="K511" s="209"/>
      <c r="M511" s="364"/>
      <c r="O511" s="449"/>
    </row>
    <row r="512" spans="2:15" s="173" customFormat="1" ht="25.5" customHeight="1">
      <c r="B512" s="122"/>
      <c r="C512" s="1"/>
      <c r="D512" s="1"/>
      <c r="E512" s="1"/>
      <c r="K512" s="209"/>
      <c r="M512" s="364"/>
      <c r="O512" s="449"/>
    </row>
    <row r="513" spans="2:15" s="173" customFormat="1" ht="25.5" customHeight="1">
      <c r="B513" s="122"/>
      <c r="C513" s="1"/>
      <c r="D513" s="1"/>
      <c r="E513" s="1"/>
      <c r="K513" s="209"/>
      <c r="M513" s="364"/>
      <c r="O513" s="449"/>
    </row>
    <row r="514" spans="2:15" s="173" customFormat="1" ht="25.5" customHeight="1">
      <c r="B514" s="122"/>
      <c r="C514" s="1"/>
      <c r="D514" s="1"/>
      <c r="E514" s="1"/>
      <c r="K514" s="209"/>
      <c r="M514" s="364"/>
      <c r="O514" s="449"/>
    </row>
    <row r="515" spans="2:15" s="173" customFormat="1" ht="25.5" customHeight="1">
      <c r="B515" s="122"/>
      <c r="C515" s="1"/>
      <c r="D515" s="1"/>
      <c r="E515" s="1"/>
      <c r="K515" s="209"/>
      <c r="M515" s="364"/>
      <c r="O515" s="449"/>
    </row>
    <row r="516" spans="2:15" s="173" customFormat="1" ht="25.5" customHeight="1">
      <c r="B516" s="122"/>
      <c r="C516" s="1"/>
      <c r="D516" s="1"/>
      <c r="E516" s="1"/>
      <c r="K516" s="209"/>
      <c r="M516" s="364"/>
      <c r="O516" s="449"/>
    </row>
    <row r="517" spans="2:15" s="173" customFormat="1" ht="25.5" customHeight="1">
      <c r="B517" s="122"/>
      <c r="C517" s="1"/>
      <c r="D517" s="1"/>
      <c r="E517" s="1"/>
      <c r="K517" s="209"/>
      <c r="M517" s="364"/>
      <c r="O517" s="449"/>
    </row>
    <row r="518" spans="2:15" s="173" customFormat="1" ht="25.5" customHeight="1">
      <c r="B518" s="122"/>
      <c r="C518" s="1"/>
      <c r="D518" s="1"/>
      <c r="E518" s="1"/>
      <c r="K518" s="209"/>
      <c r="M518" s="364"/>
      <c r="O518" s="449"/>
    </row>
    <row r="519" spans="2:15" s="173" customFormat="1" ht="25.5" customHeight="1">
      <c r="B519" s="122"/>
      <c r="C519" s="1"/>
      <c r="D519" s="1"/>
      <c r="E519" s="1"/>
      <c r="K519" s="209"/>
      <c r="M519" s="364"/>
      <c r="O519" s="449"/>
    </row>
    <row r="520" spans="2:15" s="173" customFormat="1" ht="25.5" customHeight="1">
      <c r="B520" s="122"/>
      <c r="C520" s="1"/>
      <c r="D520" s="1"/>
      <c r="E520" s="1"/>
      <c r="K520" s="209"/>
      <c r="M520" s="364"/>
      <c r="O520" s="449"/>
    </row>
    <row r="521" spans="2:15" s="173" customFormat="1" ht="25.5" customHeight="1">
      <c r="B521" s="122"/>
      <c r="C521" s="1"/>
      <c r="D521" s="1"/>
      <c r="E521" s="1"/>
      <c r="K521" s="209"/>
      <c r="M521" s="364"/>
      <c r="O521" s="449"/>
    </row>
    <row r="522" spans="2:15" s="173" customFormat="1" ht="25.5" customHeight="1">
      <c r="B522" s="122"/>
      <c r="C522" s="1"/>
      <c r="D522" s="1"/>
      <c r="E522" s="1"/>
      <c r="K522" s="209"/>
      <c r="M522" s="364"/>
      <c r="O522" s="449"/>
    </row>
    <row r="523" spans="2:15" s="173" customFormat="1" ht="25.5" customHeight="1">
      <c r="B523" s="122"/>
      <c r="C523" s="1"/>
      <c r="D523" s="1"/>
      <c r="E523" s="1"/>
      <c r="K523" s="209"/>
      <c r="M523" s="364"/>
      <c r="O523" s="449"/>
    </row>
    <row r="524" spans="2:15" s="173" customFormat="1" ht="25.5" customHeight="1">
      <c r="B524" s="122"/>
      <c r="C524" s="1"/>
      <c r="D524" s="1"/>
      <c r="E524" s="1"/>
      <c r="K524" s="209"/>
      <c r="M524" s="364"/>
      <c r="O524" s="449"/>
    </row>
    <row r="525" spans="2:15" s="173" customFormat="1" ht="25.5" customHeight="1">
      <c r="B525" s="122"/>
      <c r="C525" s="1"/>
      <c r="D525" s="1"/>
      <c r="E525" s="1"/>
      <c r="K525" s="209"/>
      <c r="M525" s="364"/>
      <c r="O525" s="449"/>
    </row>
    <row r="526" spans="2:15" s="173" customFormat="1" ht="25.5" customHeight="1">
      <c r="B526" s="122"/>
      <c r="C526" s="1"/>
      <c r="D526" s="1"/>
      <c r="E526" s="1"/>
      <c r="K526" s="209"/>
      <c r="M526" s="364"/>
      <c r="O526" s="449"/>
    </row>
    <row r="527" spans="2:15" s="173" customFormat="1" ht="25.5" customHeight="1">
      <c r="B527" s="122"/>
      <c r="C527" s="1"/>
      <c r="D527" s="1"/>
      <c r="E527" s="1"/>
      <c r="K527" s="209"/>
      <c r="M527" s="364"/>
      <c r="O527" s="449"/>
    </row>
    <row r="528" spans="2:15" s="173" customFormat="1" ht="25.5" customHeight="1">
      <c r="B528" s="122"/>
      <c r="C528" s="1"/>
      <c r="D528" s="1"/>
      <c r="E528" s="1"/>
      <c r="K528" s="209"/>
      <c r="M528" s="364"/>
      <c r="O528" s="449"/>
    </row>
    <row r="529" spans="2:15" s="173" customFormat="1" ht="25.5" customHeight="1">
      <c r="B529" s="122"/>
      <c r="C529" s="1"/>
      <c r="D529" s="1"/>
      <c r="E529" s="1"/>
      <c r="K529" s="209"/>
      <c r="M529" s="364"/>
      <c r="O529" s="449"/>
    </row>
    <row r="530" spans="2:15" s="173" customFormat="1" ht="25.5" customHeight="1">
      <c r="B530" s="122"/>
      <c r="C530" s="1"/>
      <c r="D530" s="1"/>
      <c r="E530" s="1"/>
      <c r="K530" s="209"/>
      <c r="M530" s="364"/>
      <c r="O530" s="449"/>
    </row>
    <row r="531" spans="2:15" s="173" customFormat="1" ht="25.5" customHeight="1">
      <c r="B531" s="122"/>
      <c r="C531" s="1"/>
      <c r="D531" s="1"/>
      <c r="E531" s="1"/>
      <c r="K531" s="209"/>
      <c r="M531" s="364"/>
      <c r="O531" s="449"/>
    </row>
    <row r="532" spans="2:15" s="173" customFormat="1" ht="25.5" customHeight="1">
      <c r="B532" s="122"/>
      <c r="C532" s="1"/>
      <c r="D532" s="1"/>
      <c r="E532" s="1"/>
      <c r="K532" s="209"/>
      <c r="M532" s="364"/>
      <c r="O532" s="449"/>
    </row>
    <row r="533" spans="2:15" s="173" customFormat="1" ht="25.5" customHeight="1">
      <c r="B533" s="122"/>
      <c r="C533" s="1"/>
      <c r="D533" s="1"/>
      <c r="E533" s="1"/>
      <c r="K533" s="209"/>
      <c r="M533" s="364"/>
      <c r="O533" s="449"/>
    </row>
    <row r="534" spans="2:15" s="173" customFormat="1" ht="25.5" customHeight="1">
      <c r="B534" s="122"/>
      <c r="C534" s="1"/>
      <c r="D534" s="1"/>
      <c r="E534" s="1"/>
      <c r="K534" s="209"/>
      <c r="M534" s="364"/>
      <c r="O534" s="449"/>
    </row>
    <row r="535" spans="2:15" s="173" customFormat="1" ht="25.5" customHeight="1">
      <c r="B535" s="122"/>
      <c r="C535" s="1"/>
      <c r="D535" s="1"/>
      <c r="E535" s="1"/>
      <c r="K535" s="209"/>
      <c r="M535" s="364"/>
      <c r="O535" s="449"/>
    </row>
    <row r="536" spans="2:15" s="173" customFormat="1" ht="25.5" customHeight="1">
      <c r="B536" s="122"/>
      <c r="C536" s="1"/>
      <c r="D536" s="1"/>
      <c r="E536" s="1"/>
      <c r="K536" s="209"/>
      <c r="M536" s="364"/>
      <c r="O536" s="449"/>
    </row>
    <row r="537" spans="2:15" s="173" customFormat="1" ht="25.5" customHeight="1">
      <c r="B537" s="122"/>
      <c r="C537" s="1"/>
      <c r="D537" s="1"/>
      <c r="E537" s="1"/>
      <c r="K537" s="209"/>
      <c r="M537" s="364"/>
      <c r="O537" s="449"/>
    </row>
    <row r="538" spans="2:15" s="173" customFormat="1" ht="25.5" customHeight="1">
      <c r="B538" s="122"/>
      <c r="C538" s="1"/>
      <c r="D538" s="1"/>
      <c r="E538" s="1"/>
      <c r="K538" s="209"/>
      <c r="M538" s="364"/>
      <c r="O538" s="449"/>
    </row>
    <row r="539" spans="2:15" s="173" customFormat="1" ht="25.5" customHeight="1">
      <c r="B539" s="122"/>
      <c r="C539" s="1"/>
      <c r="D539" s="1"/>
      <c r="E539" s="1"/>
      <c r="K539" s="209"/>
      <c r="M539" s="364"/>
      <c r="O539" s="449"/>
    </row>
    <row r="540" spans="2:15" s="173" customFormat="1" ht="25.5" customHeight="1">
      <c r="B540" s="122"/>
      <c r="C540" s="1"/>
      <c r="D540" s="1"/>
      <c r="E540" s="1"/>
      <c r="K540" s="209"/>
      <c r="M540" s="364"/>
      <c r="O540" s="449"/>
    </row>
    <row r="541" spans="2:15" s="173" customFormat="1" ht="25.5" customHeight="1">
      <c r="B541" s="122"/>
      <c r="C541" s="1"/>
      <c r="D541" s="1"/>
      <c r="E541" s="1"/>
      <c r="K541" s="209"/>
      <c r="M541" s="364"/>
      <c r="O541" s="449"/>
    </row>
    <row r="542" spans="2:15" s="173" customFormat="1" ht="25.5" customHeight="1">
      <c r="B542" s="122"/>
      <c r="C542" s="1"/>
      <c r="D542" s="1"/>
      <c r="E542" s="1"/>
      <c r="K542" s="209"/>
      <c r="M542" s="364"/>
      <c r="O542" s="449"/>
    </row>
    <row r="543" spans="2:15" s="173" customFormat="1" ht="25.5" customHeight="1">
      <c r="B543" s="122"/>
      <c r="C543" s="1"/>
      <c r="D543" s="1"/>
      <c r="E543" s="1"/>
      <c r="K543" s="209"/>
      <c r="M543" s="364"/>
      <c r="O543" s="449"/>
    </row>
    <row r="544" spans="2:15" s="173" customFormat="1" ht="25.5" customHeight="1">
      <c r="B544" s="122"/>
      <c r="C544" s="1"/>
      <c r="D544" s="1"/>
      <c r="E544" s="1"/>
      <c r="K544" s="209"/>
      <c r="M544" s="364"/>
      <c r="O544" s="449"/>
    </row>
    <row r="545" spans="2:15" s="173" customFormat="1" ht="25.5" customHeight="1">
      <c r="B545" s="122"/>
      <c r="C545" s="1"/>
      <c r="D545" s="1"/>
      <c r="E545" s="1"/>
      <c r="K545" s="209"/>
      <c r="M545" s="364"/>
      <c r="O545" s="449"/>
    </row>
    <row r="546" spans="2:15" s="173" customFormat="1" ht="25.5" customHeight="1">
      <c r="B546" s="122"/>
      <c r="C546" s="1"/>
      <c r="D546" s="1"/>
      <c r="E546" s="1"/>
      <c r="K546" s="209"/>
      <c r="M546" s="364"/>
      <c r="O546" s="449"/>
    </row>
    <row r="547" spans="2:15" s="173" customFormat="1" ht="25.5" customHeight="1">
      <c r="B547" s="122"/>
      <c r="C547" s="1"/>
      <c r="D547" s="1"/>
      <c r="E547" s="1"/>
      <c r="K547" s="209"/>
      <c r="M547" s="364"/>
      <c r="O547" s="449"/>
    </row>
    <row r="548" spans="2:15" s="173" customFormat="1" ht="25.5" customHeight="1">
      <c r="B548" s="122"/>
      <c r="C548" s="1"/>
      <c r="D548" s="1"/>
      <c r="E548" s="1"/>
      <c r="K548" s="209"/>
      <c r="M548" s="364"/>
      <c r="O548" s="449"/>
    </row>
    <row r="549" spans="2:15" s="173" customFormat="1" ht="25.5" customHeight="1">
      <c r="B549" s="122"/>
      <c r="C549" s="1"/>
      <c r="D549" s="1"/>
      <c r="E549" s="1"/>
      <c r="K549" s="209"/>
      <c r="M549" s="364"/>
      <c r="O549" s="449"/>
    </row>
    <row r="550" spans="2:15" s="173" customFormat="1" ht="25.5" customHeight="1">
      <c r="B550" s="122"/>
      <c r="C550" s="1"/>
      <c r="D550" s="1"/>
      <c r="E550" s="1"/>
      <c r="K550" s="209"/>
      <c r="M550" s="364"/>
      <c r="O550" s="449"/>
    </row>
    <row r="551" spans="2:15" s="173" customFormat="1" ht="25.5" customHeight="1">
      <c r="B551" s="122"/>
      <c r="C551" s="1"/>
      <c r="D551" s="1"/>
      <c r="E551" s="1"/>
      <c r="K551" s="209"/>
      <c r="M551" s="364"/>
      <c r="O551" s="449"/>
    </row>
    <row r="552" spans="2:15" s="173" customFormat="1" ht="25.5" customHeight="1">
      <c r="B552" s="122"/>
      <c r="C552" s="1"/>
      <c r="D552" s="1"/>
      <c r="E552" s="1"/>
      <c r="K552" s="209"/>
      <c r="M552" s="364"/>
      <c r="O552" s="449"/>
    </row>
    <row r="553" spans="2:15" s="173" customFormat="1" ht="25.5" customHeight="1">
      <c r="B553" s="122"/>
      <c r="C553" s="1"/>
      <c r="D553" s="1"/>
      <c r="E553" s="1"/>
      <c r="K553" s="209"/>
      <c r="M553" s="364"/>
      <c r="O553" s="449"/>
    </row>
    <row r="554" spans="2:15" s="173" customFormat="1" ht="25.5" customHeight="1">
      <c r="B554" s="122"/>
      <c r="C554" s="1"/>
      <c r="D554" s="1"/>
      <c r="E554" s="1"/>
      <c r="K554" s="209"/>
      <c r="M554" s="364"/>
      <c r="O554" s="449"/>
    </row>
    <row r="555" spans="2:15" s="173" customFormat="1" ht="25.5" customHeight="1">
      <c r="B555" s="122"/>
      <c r="C555" s="1"/>
      <c r="D555" s="1"/>
      <c r="E555" s="1"/>
      <c r="K555" s="209"/>
      <c r="M555" s="364"/>
      <c r="O555" s="449"/>
    </row>
    <row r="556" spans="2:15" s="173" customFormat="1" ht="25.5" customHeight="1">
      <c r="B556" s="122"/>
      <c r="C556" s="1"/>
      <c r="D556" s="1"/>
      <c r="E556" s="1"/>
      <c r="K556" s="209"/>
      <c r="M556" s="364"/>
      <c r="O556" s="449"/>
    </row>
    <row r="557" spans="2:15" s="173" customFormat="1" ht="25.5" customHeight="1">
      <c r="B557" s="122"/>
      <c r="C557" s="1"/>
      <c r="D557" s="1"/>
      <c r="E557" s="1"/>
      <c r="K557" s="209"/>
      <c r="M557" s="364"/>
      <c r="O557" s="449"/>
    </row>
    <row r="558" spans="2:15" s="173" customFormat="1" ht="25.5" customHeight="1">
      <c r="B558" s="122"/>
      <c r="C558" s="1"/>
      <c r="D558" s="1"/>
      <c r="E558" s="1"/>
      <c r="K558" s="209"/>
      <c r="M558" s="364"/>
      <c r="O558" s="449"/>
    </row>
    <row r="559" spans="2:15" s="173" customFormat="1" ht="25.5" customHeight="1">
      <c r="B559" s="122"/>
      <c r="C559" s="1"/>
      <c r="D559" s="1"/>
      <c r="E559" s="1"/>
      <c r="K559" s="209"/>
      <c r="M559" s="364"/>
      <c r="O559" s="449"/>
    </row>
    <row r="560" spans="2:15" s="173" customFormat="1" ht="25.5" customHeight="1">
      <c r="B560" s="122"/>
      <c r="C560" s="1"/>
      <c r="D560" s="1"/>
      <c r="E560" s="1"/>
      <c r="K560" s="209"/>
      <c r="M560" s="364"/>
      <c r="O560" s="449"/>
    </row>
    <row r="561" spans="2:15" s="173" customFormat="1" ht="25.5" customHeight="1">
      <c r="B561" s="122"/>
      <c r="C561" s="1"/>
      <c r="D561" s="1"/>
      <c r="E561" s="1"/>
      <c r="K561" s="209"/>
      <c r="M561" s="364"/>
      <c r="O561" s="449"/>
    </row>
    <row r="562" spans="2:15" s="173" customFormat="1" ht="25.5" customHeight="1">
      <c r="B562" s="122"/>
      <c r="C562" s="1"/>
      <c r="D562" s="1"/>
      <c r="E562" s="1"/>
      <c r="K562" s="209"/>
      <c r="M562" s="364"/>
      <c r="O562" s="449"/>
    </row>
    <row r="563" spans="2:15" s="173" customFormat="1" ht="25.5" customHeight="1">
      <c r="B563" s="122"/>
      <c r="C563" s="1"/>
      <c r="D563" s="1"/>
      <c r="E563" s="1"/>
      <c r="K563" s="209"/>
      <c r="M563" s="364"/>
      <c r="O563" s="449"/>
    </row>
    <row r="564" spans="2:15" s="173" customFormat="1" ht="25.5" customHeight="1">
      <c r="B564" s="122"/>
      <c r="C564" s="1"/>
      <c r="D564" s="1"/>
      <c r="E564" s="1"/>
      <c r="K564" s="209"/>
      <c r="M564" s="364"/>
      <c r="O564" s="449"/>
    </row>
    <row r="565" spans="2:15" s="173" customFormat="1" ht="25.5" customHeight="1">
      <c r="B565" s="122"/>
      <c r="C565" s="1"/>
      <c r="D565" s="1"/>
      <c r="E565" s="1"/>
      <c r="K565" s="209"/>
      <c r="M565" s="364"/>
      <c r="O565" s="449"/>
    </row>
    <row r="566" spans="2:15" s="173" customFormat="1" ht="25.5" customHeight="1">
      <c r="B566" s="122"/>
      <c r="C566" s="1"/>
      <c r="D566" s="1"/>
      <c r="E566" s="1"/>
      <c r="K566" s="209"/>
      <c r="M566" s="364"/>
      <c r="O566" s="449"/>
    </row>
    <row r="567" spans="2:15" s="173" customFormat="1" ht="25.5" customHeight="1">
      <c r="B567" s="122"/>
      <c r="C567" s="1"/>
      <c r="D567" s="1"/>
      <c r="E567" s="1"/>
      <c r="K567" s="209"/>
      <c r="M567" s="364"/>
      <c r="O567" s="449"/>
    </row>
    <row r="568" spans="2:15" s="173" customFormat="1" ht="25.5" customHeight="1">
      <c r="B568" s="122"/>
      <c r="C568" s="1"/>
      <c r="D568" s="1"/>
      <c r="E568" s="1"/>
      <c r="K568" s="209"/>
      <c r="M568" s="364"/>
      <c r="O568" s="449"/>
    </row>
    <row r="569" spans="2:15" s="173" customFormat="1" ht="25.5" customHeight="1">
      <c r="B569" s="122"/>
      <c r="C569" s="1"/>
      <c r="D569" s="1"/>
      <c r="E569" s="1"/>
      <c r="K569" s="209"/>
      <c r="M569" s="364"/>
      <c r="O569" s="449"/>
    </row>
    <row r="570" spans="2:15" s="173" customFormat="1" ht="25.5" customHeight="1">
      <c r="B570" s="122"/>
      <c r="C570" s="1"/>
      <c r="D570" s="1"/>
      <c r="E570" s="1"/>
      <c r="K570" s="209"/>
      <c r="M570" s="364"/>
      <c r="O570" s="449"/>
    </row>
    <row r="571" spans="2:15" s="173" customFormat="1" ht="25.5" customHeight="1">
      <c r="B571" s="122"/>
      <c r="C571" s="1"/>
      <c r="D571" s="1"/>
      <c r="E571" s="1"/>
      <c r="K571" s="209"/>
      <c r="M571" s="364"/>
      <c r="O571" s="449"/>
    </row>
    <row r="572" spans="2:15" s="173" customFormat="1" ht="25.5" customHeight="1">
      <c r="B572" s="122"/>
      <c r="C572" s="1"/>
      <c r="D572" s="1"/>
      <c r="E572" s="1"/>
      <c r="K572" s="209"/>
      <c r="M572" s="364"/>
      <c r="O572" s="449"/>
    </row>
    <row r="573" spans="2:15" s="173" customFormat="1" ht="25.5" customHeight="1">
      <c r="B573" s="122"/>
      <c r="C573" s="1"/>
      <c r="D573" s="1"/>
      <c r="E573" s="1"/>
      <c r="K573" s="209"/>
      <c r="M573" s="364"/>
      <c r="O573" s="449"/>
    </row>
    <row r="574" spans="2:15" s="173" customFormat="1" ht="25.5" customHeight="1">
      <c r="B574" s="122"/>
      <c r="C574" s="1"/>
      <c r="D574" s="1"/>
      <c r="E574" s="1"/>
      <c r="K574" s="209"/>
      <c r="M574" s="364"/>
      <c r="O574" s="449"/>
    </row>
    <row r="575" spans="2:15" s="173" customFormat="1" ht="25.5" customHeight="1">
      <c r="B575" s="122"/>
      <c r="C575" s="1"/>
      <c r="D575" s="1"/>
      <c r="E575" s="1"/>
      <c r="K575" s="209"/>
      <c r="M575" s="364"/>
      <c r="O575" s="449"/>
    </row>
    <row r="576" spans="2:15" s="173" customFormat="1" ht="25.5" customHeight="1">
      <c r="B576" s="122"/>
      <c r="C576" s="1"/>
      <c r="D576" s="1"/>
      <c r="E576" s="1"/>
      <c r="K576" s="209"/>
      <c r="M576" s="364"/>
      <c r="O576" s="449"/>
    </row>
    <row r="577" spans="2:15" s="173" customFormat="1" ht="25.5" customHeight="1">
      <c r="B577" s="122"/>
      <c r="C577" s="1"/>
      <c r="D577" s="1"/>
      <c r="E577" s="1"/>
      <c r="K577" s="209"/>
      <c r="M577" s="364"/>
      <c r="O577" s="449"/>
    </row>
    <row r="578" spans="2:15" s="173" customFormat="1" ht="25.5" customHeight="1">
      <c r="B578" s="122"/>
      <c r="C578" s="1"/>
      <c r="D578" s="1"/>
      <c r="E578" s="1"/>
      <c r="K578" s="209"/>
      <c r="M578" s="364"/>
      <c r="O578" s="449"/>
    </row>
    <row r="579" spans="2:15" s="173" customFormat="1" ht="25.5" customHeight="1">
      <c r="B579" s="122"/>
      <c r="C579" s="1"/>
      <c r="D579" s="1"/>
      <c r="E579" s="1"/>
      <c r="K579" s="209"/>
      <c r="M579" s="364"/>
      <c r="O579" s="449"/>
    </row>
    <row r="580" spans="2:15" s="173" customFormat="1" ht="25.5" customHeight="1">
      <c r="B580" s="122"/>
      <c r="C580" s="1"/>
      <c r="D580" s="1"/>
      <c r="E580" s="1"/>
      <c r="K580" s="209"/>
      <c r="M580" s="364"/>
      <c r="O580" s="449"/>
    </row>
    <row r="581" spans="2:15" s="173" customFormat="1" ht="25.5" customHeight="1">
      <c r="B581" s="122"/>
      <c r="C581" s="1"/>
      <c r="D581" s="1"/>
      <c r="E581" s="1"/>
      <c r="K581" s="209"/>
      <c r="M581" s="364"/>
      <c r="O581" s="449"/>
    </row>
    <row r="582" spans="2:15" s="173" customFormat="1" ht="25.5" customHeight="1">
      <c r="B582" s="122"/>
      <c r="C582" s="1"/>
      <c r="D582" s="1"/>
      <c r="E582" s="1"/>
      <c r="K582" s="209"/>
      <c r="M582" s="364"/>
      <c r="O582" s="449"/>
    </row>
    <row r="583" spans="2:15" s="173" customFormat="1" ht="25.5" customHeight="1">
      <c r="B583" s="122"/>
      <c r="C583" s="1"/>
      <c r="D583" s="1"/>
      <c r="E583" s="1"/>
      <c r="K583" s="209"/>
      <c r="M583" s="364"/>
      <c r="O583" s="449"/>
    </row>
    <row r="584" spans="2:15" s="173" customFormat="1" ht="25.5" customHeight="1">
      <c r="B584" s="122"/>
      <c r="C584" s="1"/>
      <c r="D584" s="1"/>
      <c r="E584" s="1"/>
      <c r="K584" s="209"/>
      <c r="M584" s="364"/>
      <c r="O584" s="449"/>
    </row>
    <row r="585" spans="2:15" s="173" customFormat="1" ht="25.5" customHeight="1">
      <c r="B585" s="122"/>
      <c r="C585" s="1"/>
      <c r="D585" s="1"/>
      <c r="E585" s="1"/>
      <c r="K585" s="209"/>
      <c r="M585" s="364"/>
      <c r="O585" s="449"/>
    </row>
    <row r="586" spans="2:15" s="173" customFormat="1" ht="25.5" customHeight="1">
      <c r="B586" s="122"/>
      <c r="C586" s="1"/>
      <c r="D586" s="1"/>
      <c r="E586" s="1"/>
      <c r="K586" s="209"/>
      <c r="M586" s="364"/>
      <c r="O586" s="449"/>
    </row>
    <row r="587" spans="2:15" s="173" customFormat="1" ht="25.5" customHeight="1">
      <c r="B587" s="122"/>
      <c r="C587" s="1"/>
      <c r="D587" s="1"/>
      <c r="E587" s="1"/>
      <c r="K587" s="209"/>
      <c r="M587" s="364"/>
      <c r="O587" s="449"/>
    </row>
    <row r="588" spans="2:15" s="173" customFormat="1" ht="25.5" customHeight="1">
      <c r="B588" s="122"/>
      <c r="C588" s="1"/>
      <c r="D588" s="1"/>
      <c r="E588" s="1"/>
      <c r="K588" s="209"/>
      <c r="M588" s="364"/>
      <c r="O588" s="449"/>
    </row>
    <row r="589" spans="2:15" s="173" customFormat="1" ht="25.5" customHeight="1">
      <c r="B589" s="122"/>
      <c r="C589" s="1"/>
      <c r="D589" s="1"/>
      <c r="E589" s="1"/>
      <c r="K589" s="209"/>
      <c r="M589" s="364"/>
      <c r="O589" s="449"/>
    </row>
    <row r="590" spans="2:15" s="173" customFormat="1" ht="25.5" customHeight="1">
      <c r="B590" s="122"/>
      <c r="C590" s="1"/>
      <c r="D590" s="1"/>
      <c r="E590" s="1"/>
      <c r="K590" s="209"/>
      <c r="M590" s="364"/>
      <c r="O590" s="449"/>
    </row>
    <row r="591" spans="2:15" s="173" customFormat="1" ht="25.5" customHeight="1">
      <c r="B591" s="122"/>
      <c r="C591" s="1"/>
      <c r="D591" s="1"/>
      <c r="E591" s="1"/>
      <c r="K591" s="209"/>
      <c r="M591" s="364"/>
      <c r="O591" s="449"/>
    </row>
    <row r="592" spans="2:15" s="173" customFormat="1" ht="25.5" customHeight="1">
      <c r="B592" s="122"/>
      <c r="C592" s="1"/>
      <c r="D592" s="1"/>
      <c r="E592" s="1"/>
      <c r="K592" s="209"/>
      <c r="M592" s="364"/>
      <c r="O592" s="449"/>
    </row>
    <row r="593" spans="2:15" s="173" customFormat="1" ht="25.5" customHeight="1">
      <c r="B593" s="122"/>
      <c r="C593" s="1"/>
      <c r="D593" s="1"/>
      <c r="E593" s="1"/>
      <c r="K593" s="209"/>
      <c r="M593" s="364"/>
      <c r="O593" s="449"/>
    </row>
    <row r="594" spans="2:15" s="173" customFormat="1" ht="25.5" customHeight="1">
      <c r="B594" s="122"/>
      <c r="C594" s="1"/>
      <c r="D594" s="1"/>
      <c r="E594" s="1"/>
      <c r="K594" s="209"/>
      <c r="M594" s="364"/>
      <c r="O594" s="449"/>
    </row>
    <row r="595" spans="2:15" s="173" customFormat="1" ht="25.5" customHeight="1">
      <c r="B595" s="122"/>
      <c r="C595" s="1"/>
      <c r="D595" s="1"/>
      <c r="E595" s="1"/>
      <c r="K595" s="209"/>
      <c r="M595" s="364"/>
      <c r="O595" s="449"/>
    </row>
    <row r="596" spans="2:15" s="173" customFormat="1" ht="25.5" customHeight="1">
      <c r="B596" s="122"/>
      <c r="C596" s="1"/>
      <c r="D596" s="1"/>
      <c r="E596" s="1"/>
      <c r="K596" s="209"/>
      <c r="M596" s="364"/>
      <c r="O596" s="449"/>
    </row>
    <row r="597" spans="2:15" s="173" customFormat="1" ht="25.5" customHeight="1">
      <c r="B597" s="122"/>
      <c r="C597" s="1"/>
      <c r="D597" s="1"/>
      <c r="E597" s="1"/>
      <c r="K597" s="209"/>
      <c r="M597" s="364"/>
      <c r="O597" s="449"/>
    </row>
    <row r="598" spans="2:15" s="173" customFormat="1" ht="25.5" customHeight="1">
      <c r="B598" s="122"/>
      <c r="C598" s="1"/>
      <c r="D598" s="1"/>
      <c r="E598" s="1"/>
      <c r="K598" s="209"/>
      <c r="M598" s="364"/>
      <c r="O598" s="449"/>
    </row>
    <row r="599" spans="2:15" s="173" customFormat="1" ht="25.5" customHeight="1">
      <c r="B599" s="122"/>
      <c r="C599" s="1"/>
      <c r="D599" s="1"/>
      <c r="E599" s="1"/>
      <c r="K599" s="209"/>
      <c r="M599" s="364"/>
      <c r="O599" s="449"/>
    </row>
    <row r="600" spans="2:15" s="173" customFormat="1" ht="25.5" customHeight="1">
      <c r="B600" s="122"/>
      <c r="C600" s="1"/>
      <c r="D600" s="1"/>
      <c r="E600" s="1"/>
      <c r="K600" s="209"/>
      <c r="M600" s="364"/>
      <c r="O600" s="449"/>
    </row>
    <row r="601" spans="2:15" s="173" customFormat="1" ht="25.5" customHeight="1">
      <c r="B601" s="122"/>
      <c r="C601" s="1"/>
      <c r="D601" s="1"/>
      <c r="E601" s="1"/>
      <c r="K601" s="209"/>
      <c r="M601" s="364"/>
      <c r="O601" s="449"/>
    </row>
    <row r="602" spans="2:15" s="173" customFormat="1" ht="25.5" customHeight="1">
      <c r="B602" s="122"/>
      <c r="C602" s="1"/>
      <c r="D602" s="1"/>
      <c r="E602" s="1"/>
      <c r="K602" s="209"/>
      <c r="M602" s="364"/>
      <c r="O602" s="449"/>
    </row>
    <row r="603" spans="2:15" s="173" customFormat="1" ht="25.5" customHeight="1">
      <c r="B603" s="122"/>
      <c r="C603" s="1"/>
      <c r="D603" s="1"/>
      <c r="E603" s="1"/>
      <c r="K603" s="209"/>
      <c r="M603" s="364"/>
      <c r="O603" s="449"/>
    </row>
    <row r="604" spans="2:15" s="173" customFormat="1" ht="25.5" customHeight="1">
      <c r="B604" s="122"/>
      <c r="C604" s="1"/>
      <c r="D604" s="1"/>
      <c r="E604" s="1"/>
      <c r="K604" s="209"/>
      <c r="M604" s="364"/>
      <c r="O604" s="449"/>
    </row>
    <row r="605" spans="2:15" s="173" customFormat="1" ht="25.5" customHeight="1">
      <c r="B605" s="122"/>
      <c r="C605" s="1"/>
      <c r="D605" s="1"/>
      <c r="E605" s="1"/>
      <c r="K605" s="209"/>
      <c r="M605" s="364"/>
      <c r="O605" s="449"/>
    </row>
    <row r="606" spans="2:15" s="173" customFormat="1" ht="25.5" customHeight="1">
      <c r="B606" s="122"/>
      <c r="C606" s="1"/>
      <c r="D606" s="1"/>
      <c r="E606" s="1"/>
      <c r="K606" s="209"/>
      <c r="M606" s="364"/>
      <c r="O606" s="449"/>
    </row>
  </sheetData>
  <sheetProtection selectLockedCells="1"/>
  <mergeCells count="65">
    <mergeCell ref="B216:C216"/>
    <mergeCell ref="B218:C218"/>
    <mergeCell ref="J219:M219"/>
    <mergeCell ref="B170:G172"/>
    <mergeCell ref="B173:F173"/>
    <mergeCell ref="B174:F174"/>
    <mergeCell ref="B205:G207"/>
    <mergeCell ref="B208:F208"/>
    <mergeCell ref="B215:C215"/>
    <mergeCell ref="B134:F134"/>
    <mergeCell ref="B117:C117"/>
    <mergeCell ref="F117:G117"/>
    <mergeCell ref="J117:K117"/>
    <mergeCell ref="B118:C118"/>
    <mergeCell ref="F118:G118"/>
    <mergeCell ref="J118:K118"/>
    <mergeCell ref="B119:C119"/>
    <mergeCell ref="F119:G119"/>
    <mergeCell ref="J119:K119"/>
    <mergeCell ref="B130:G132"/>
    <mergeCell ref="B133:F133"/>
    <mergeCell ref="D99:E99"/>
    <mergeCell ref="F99:G99"/>
    <mergeCell ref="H99:I99"/>
    <mergeCell ref="J99:K99"/>
    <mergeCell ref="J116:K116"/>
    <mergeCell ref="D100:E100"/>
    <mergeCell ref="F100:G100"/>
    <mergeCell ref="H100:I100"/>
    <mergeCell ref="J100:K100"/>
    <mergeCell ref="F103:G103"/>
    <mergeCell ref="F104:G104"/>
    <mergeCell ref="B109:G111"/>
    <mergeCell ref="B112:F112"/>
    <mergeCell ref="B113:F113"/>
    <mergeCell ref="C116:D116"/>
    <mergeCell ref="F116:G116"/>
    <mergeCell ref="D98:E98"/>
    <mergeCell ref="F98:G98"/>
    <mergeCell ref="H98:I98"/>
    <mergeCell ref="J98:K98"/>
    <mergeCell ref="D97:E97"/>
    <mergeCell ref="F97:G97"/>
    <mergeCell ref="H97:I97"/>
    <mergeCell ref="J97:K97"/>
    <mergeCell ref="F83:G83"/>
    <mergeCell ref="H83:I83"/>
    <mergeCell ref="B88:G90"/>
    <mergeCell ref="B91:F91"/>
    <mergeCell ref="B92:F92"/>
    <mergeCell ref="D95:E95"/>
    <mergeCell ref="F95:G95"/>
    <mergeCell ref="H95:I95"/>
    <mergeCell ref="J95:K95"/>
    <mergeCell ref="D96:E96"/>
    <mergeCell ref="F96:G96"/>
    <mergeCell ref="H96:I96"/>
    <mergeCell ref="J96:K96"/>
    <mergeCell ref="F82:G82"/>
    <mergeCell ref="H82:I82"/>
    <mergeCell ref="B4:C4"/>
    <mergeCell ref="B15:G17"/>
    <mergeCell ref="B19:F19"/>
    <mergeCell ref="F81:G81"/>
    <mergeCell ref="H81:I81"/>
  </mergeCells>
  <conditionalFormatting sqref="M25:N35 M61:N63 M39:N39">
    <cfRule type="cellIs" dxfId="81" priority="53" operator="greaterThan">
      <formula>0</formula>
    </cfRule>
  </conditionalFormatting>
  <conditionalFormatting sqref="H117 H104 J82:J83 I25:K35 I65:K68">
    <cfRule type="cellIs" dxfId="80" priority="52" operator="greaterThan">
      <formula>0</formula>
    </cfRule>
  </conditionalFormatting>
  <conditionalFormatting sqref="J83">
    <cfRule type="cellIs" dxfId="79" priority="51" operator="greaterThan">
      <formula>0</formula>
    </cfRule>
  </conditionalFormatting>
  <conditionalFormatting sqref="J82">
    <cfRule type="cellIs" dxfId="78" priority="50" operator="greaterThan">
      <formula>0</formula>
    </cfRule>
  </conditionalFormatting>
  <conditionalFormatting sqref="H104">
    <cfRule type="cellIs" dxfId="77" priority="49" operator="greaterThan">
      <formula>0</formula>
    </cfRule>
  </conditionalFormatting>
  <conditionalFormatting sqref="I25:I35">
    <cfRule type="cellIs" dxfId="76" priority="48" operator="lessThan">
      <formula>$J25</formula>
    </cfRule>
  </conditionalFormatting>
  <conditionalFormatting sqref="H119 J119">
    <cfRule type="cellIs" dxfId="75" priority="47" operator="greaterThan">
      <formula>0</formula>
    </cfRule>
  </conditionalFormatting>
  <conditionalFormatting sqref="J119">
    <cfRule type="cellIs" dxfId="74" priority="46" operator="greaterThan">
      <formula>0</formula>
    </cfRule>
  </conditionalFormatting>
  <conditionalFormatting sqref="H118 J118">
    <cfRule type="cellIs" dxfId="73" priority="45" operator="greaterThan">
      <formula>0</formula>
    </cfRule>
  </conditionalFormatting>
  <conditionalFormatting sqref="J118">
    <cfRule type="cellIs" dxfId="72" priority="44" operator="greaterThan">
      <formula>0</formula>
    </cfRule>
  </conditionalFormatting>
  <conditionalFormatting sqref="M65:N65 M67:N67">
    <cfRule type="cellIs" dxfId="71" priority="24" operator="greaterThan">
      <formula>0</formula>
    </cfRule>
  </conditionalFormatting>
  <conditionalFormatting sqref="M66:N66 M68:N68">
    <cfRule type="cellIs" dxfId="70" priority="26" operator="greaterThan">
      <formula>0</formula>
    </cfRule>
  </conditionalFormatting>
  <conditionalFormatting sqref="M66:N66 M68:N68">
    <cfRule type="cellIs" dxfId="69" priority="25" operator="greaterThan">
      <formula>0</formula>
    </cfRule>
  </conditionalFormatting>
  <conditionalFormatting sqref="I74:J76">
    <cfRule type="cellIs" dxfId="68" priority="21" operator="greaterThan">
      <formula>0</formula>
    </cfRule>
  </conditionalFormatting>
  <conditionalFormatting sqref="M74:N75">
    <cfRule type="cellIs" dxfId="67" priority="22" operator="greaterThan">
      <formula>0</formula>
    </cfRule>
  </conditionalFormatting>
  <conditionalFormatting sqref="I74:J76">
    <cfRule type="cellIs" dxfId="66" priority="23" operator="lessThan">
      <formula>$J74</formula>
    </cfRule>
  </conditionalFormatting>
  <conditionalFormatting sqref="M76:N76">
    <cfRule type="cellIs" dxfId="65" priority="20" operator="greaterThan">
      <formula>0</formula>
    </cfRule>
  </conditionalFormatting>
  <conditionalFormatting sqref="K74:K76">
    <cfRule type="cellIs" dxfId="64" priority="19" operator="greaterThan">
      <formula>0</formula>
    </cfRule>
  </conditionalFormatting>
  <conditionalFormatting sqref="I65:I68">
    <cfRule type="cellIs" dxfId="63" priority="11" operator="lessThan">
      <formula>$J65</formula>
    </cfRule>
  </conditionalFormatting>
  <conditionalFormatting sqref="M65:N65 M67:N67">
    <cfRule type="cellIs" dxfId="62" priority="1" operator="greaterThan">
      <formula>0</formula>
    </cfRule>
  </conditionalFormatting>
  <conditionalFormatting sqref="I41:K59">
    <cfRule type="cellIs" dxfId="61" priority="9" operator="greaterThan">
      <formula>0</formula>
    </cfRule>
  </conditionalFormatting>
  <conditionalFormatting sqref="M42:N42 M44:N44 M46:N46 M48:N48 M50:N50 M52:N52 M54:N54 M56:N56 M58:N58">
    <cfRule type="cellIs" dxfId="60" priority="8" operator="greaterThan">
      <formula>0</formula>
    </cfRule>
  </conditionalFormatting>
  <conditionalFormatting sqref="M41:N41 M43:N43 M45:N45 M47:N47 M49:N49 M51:N51 M53:N53 M55:N55 M57:N57 M59:N59">
    <cfRule type="cellIs" dxfId="59" priority="7" operator="greaterThan">
      <formula>0</formula>
    </cfRule>
  </conditionalFormatting>
  <conditionalFormatting sqref="M42:N42 M44:N44 M46:N46 M48:N48 M50:N50 M52:N52 M54:N54 M56:N56 M58:N58">
    <cfRule type="cellIs" dxfId="58" priority="6" operator="greaterThan">
      <formula>0</formula>
    </cfRule>
  </conditionalFormatting>
  <conditionalFormatting sqref="M41:N41 M43:N43 M45:N45 M47:N47 M49:N49 M51:N51 M53:N53 M55:N55 M57:N57 M59:N59">
    <cfRule type="cellIs" dxfId="57" priority="5" operator="greaterThan">
      <formula>0</formula>
    </cfRule>
  </conditionalFormatting>
  <conditionalFormatting sqref="N41:N59">
    <cfRule type="cellIs" dxfId="56" priority="4" operator="greaterThan">
      <formula>0</formula>
    </cfRule>
  </conditionalFormatting>
  <conditionalFormatting sqref="I41:I59">
    <cfRule type="cellIs" dxfId="55" priority="10" operator="lessThan">
      <formula>$J41</formula>
    </cfRule>
  </conditionalFormatting>
  <conditionalFormatting sqref="M66:N66 M68:N68">
    <cfRule type="cellIs" dxfId="54" priority="3" operator="greaterThan">
      <formula>0</formula>
    </cfRule>
  </conditionalFormatting>
  <conditionalFormatting sqref="M65:N65 M67:N67">
    <cfRule type="cellIs" dxfId="53" priority="2" operator="greaterThan">
      <formula>0</formula>
    </cfRule>
  </conditionalFormatting>
  <hyperlinks>
    <hyperlink ref="B10:C10" r:id="rId1" display="    E-mail: sales@safespring.se" xr:uid="{4EDAEA16-A129-D943-B61A-822AA6E00EEF}"/>
    <hyperlink ref="B10" r:id="rId2" xr:uid="{F8C95DB1-319F-0E47-9417-0CD697D330A5}"/>
    <hyperlink ref="B212" r:id="rId3" tooltip="Skicka ett mail till Safespring." xr:uid="{A78BE428-C2C8-5C43-910D-7B0D6B6B1EF7}"/>
  </hyperlinks>
  <printOptions horizontalCentered="1" verticalCentered="1"/>
  <pageMargins left="0" right="0" top="0" bottom="0" header="0" footer="0"/>
  <pageSetup paperSize="9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ignoredErrors>
    <ignoredError sqref="L56 L58" formula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06"/>
  <sheetViews>
    <sheetView showGridLines="0" tabSelected="1" topLeftCell="A6" zoomScale="90" zoomScaleNormal="90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8" customWidth="1"/>
    <col min="2" max="2" width="30.83203125" style="45" customWidth="1"/>
    <col min="3" max="5" width="15" style="10"/>
    <col min="6" max="6" width="18.5" style="208" bestFit="1" customWidth="1"/>
    <col min="7" max="7" width="15" style="208"/>
    <col min="8" max="8" width="17.1640625" style="208" bestFit="1" customWidth="1"/>
    <col min="9" max="9" width="15" style="208"/>
    <col min="10" max="10" width="15" style="173"/>
    <col min="11" max="11" width="15" style="209"/>
    <col min="12" max="12" width="15" style="173"/>
    <col min="13" max="13" width="15" style="364"/>
    <col min="14" max="14" width="11.83203125" style="208" customWidth="1"/>
    <col min="15" max="15" width="15" style="341"/>
    <col min="16" max="16384" width="15" style="208"/>
  </cols>
  <sheetData>
    <row r="1" spans="1:29" s="173" customFormat="1" ht="25.5" customHeight="1">
      <c r="A1" s="169"/>
      <c r="B1" s="63"/>
      <c r="C1" s="63"/>
      <c r="D1" s="2"/>
      <c r="E1" s="2"/>
      <c r="F1" s="169"/>
      <c r="G1" s="169"/>
      <c r="H1" s="169"/>
      <c r="I1" s="169"/>
      <c r="J1" s="169"/>
      <c r="K1" s="170"/>
      <c r="L1" s="169"/>
      <c r="M1" s="171"/>
      <c r="N1" s="171"/>
      <c r="O1" s="169"/>
      <c r="P1" s="172"/>
    </row>
    <row r="2" spans="1:29" s="173" customFormat="1" ht="25.5" customHeight="1">
      <c r="A2" s="169"/>
      <c r="B2" s="63"/>
      <c r="C2" s="63"/>
      <c r="D2" s="2"/>
      <c r="E2" s="2"/>
      <c r="F2" s="169"/>
      <c r="G2" s="169"/>
      <c r="H2" s="169"/>
      <c r="I2" s="169"/>
      <c r="J2" s="169"/>
      <c r="K2" s="170"/>
      <c r="L2" s="169"/>
      <c r="M2" s="171"/>
      <c r="N2" s="171"/>
      <c r="O2" s="169"/>
      <c r="P2" s="172"/>
    </row>
    <row r="3" spans="1:29" s="173" customFormat="1" ht="25.5" customHeight="1">
      <c r="A3" s="169"/>
      <c r="B3" s="63"/>
      <c r="C3" s="63"/>
      <c r="D3" s="2"/>
      <c r="E3" s="2"/>
      <c r="F3" s="169"/>
      <c r="G3" s="169"/>
      <c r="H3" s="169"/>
      <c r="I3" s="169"/>
      <c r="J3" s="169"/>
      <c r="K3" s="170"/>
      <c r="L3" s="169"/>
      <c r="M3" s="171"/>
      <c r="N3" s="171"/>
      <c r="O3" s="169"/>
      <c r="P3" s="172"/>
    </row>
    <row r="4" spans="1:29" s="173" customFormat="1" ht="25.5" customHeight="1">
      <c r="A4" s="169"/>
      <c r="B4" s="569"/>
      <c r="C4" s="569"/>
      <c r="D4" s="2"/>
      <c r="E4" s="2"/>
      <c r="F4" s="169"/>
      <c r="G4" s="169"/>
      <c r="H4" s="169"/>
      <c r="I4" s="169"/>
      <c r="J4" s="169"/>
      <c r="K4" s="170"/>
      <c r="L4" s="169"/>
      <c r="M4" s="171"/>
      <c r="N4" s="171"/>
      <c r="O4" s="169"/>
      <c r="P4" s="172"/>
    </row>
    <row r="5" spans="1:29" s="173" customFormat="1" ht="25.5" customHeight="1">
      <c r="A5" s="169"/>
      <c r="B5" s="67" t="s">
        <v>313</v>
      </c>
      <c r="C5" s="67"/>
      <c r="D5" s="2"/>
      <c r="E5" s="2"/>
      <c r="F5" s="169"/>
      <c r="G5" s="169"/>
      <c r="H5" s="169"/>
      <c r="I5" s="169"/>
      <c r="J5" s="169"/>
      <c r="K5" s="170"/>
      <c r="L5" s="169"/>
      <c r="M5" s="171"/>
      <c r="N5" s="171"/>
      <c r="O5" s="169"/>
      <c r="P5" s="172"/>
    </row>
    <row r="6" spans="1:29" s="173" customFormat="1" ht="25.5" customHeight="1">
      <c r="A6" s="169"/>
      <c r="B6" s="452"/>
      <c r="C6" s="63"/>
      <c r="D6" s="2"/>
      <c r="E6" s="2"/>
      <c r="F6" s="169"/>
      <c r="G6" s="169"/>
      <c r="H6" s="169"/>
      <c r="I6" s="169"/>
      <c r="J6" s="169"/>
      <c r="K6" s="170"/>
      <c r="L6" s="169"/>
      <c r="M6" s="171"/>
      <c r="N6" s="171"/>
      <c r="O6" s="169"/>
      <c r="P6" s="172"/>
    </row>
    <row r="7" spans="1:29" s="173" customFormat="1" ht="25.5" customHeight="1">
      <c r="A7" s="169"/>
      <c r="B7" s="453"/>
      <c r="C7" s="63"/>
      <c r="D7" s="2"/>
      <c r="E7" s="2"/>
      <c r="F7" s="169"/>
      <c r="G7" s="169"/>
      <c r="H7" s="169"/>
      <c r="I7" s="169"/>
      <c r="J7" s="169"/>
      <c r="K7" s="170"/>
      <c r="L7" s="169"/>
      <c r="M7" s="171"/>
      <c r="N7" s="171"/>
      <c r="O7" s="169"/>
      <c r="P7" s="172"/>
    </row>
    <row r="8" spans="1:29" s="173" customFormat="1" ht="25.5" customHeight="1">
      <c r="A8" s="169"/>
      <c r="B8" s="70" t="s">
        <v>0</v>
      </c>
      <c r="C8" s="63"/>
      <c r="D8" s="70" t="s">
        <v>114</v>
      </c>
      <c r="E8" s="2"/>
      <c r="F8" s="169"/>
      <c r="G8" s="169"/>
      <c r="H8" s="169"/>
      <c r="I8" s="169"/>
      <c r="J8" s="169"/>
      <c r="K8" s="170"/>
      <c r="L8" s="169"/>
      <c r="M8" s="171"/>
      <c r="N8" s="171"/>
      <c r="O8" s="169"/>
      <c r="P8" s="172"/>
    </row>
    <row r="9" spans="1:29" s="173" customFormat="1" ht="25.5" customHeight="1">
      <c r="A9" s="169"/>
      <c r="B9" s="81" t="s">
        <v>1</v>
      </c>
      <c r="C9" s="63"/>
      <c r="D9" s="81" t="s">
        <v>111</v>
      </c>
      <c r="E9" s="2"/>
      <c r="F9" s="169"/>
      <c r="G9" s="169"/>
      <c r="H9" s="169"/>
      <c r="I9" s="169"/>
      <c r="J9" s="169"/>
      <c r="K9" s="170"/>
      <c r="L9" s="169"/>
      <c r="M9" s="171"/>
      <c r="N9" s="171"/>
      <c r="O9" s="169"/>
      <c r="P9" s="172"/>
    </row>
    <row r="10" spans="1:29" s="173" customFormat="1" ht="25.5" customHeight="1">
      <c r="A10" s="169"/>
      <c r="B10" s="454" t="s">
        <v>2</v>
      </c>
      <c r="C10" s="456"/>
      <c r="D10" s="2"/>
      <c r="E10" s="2"/>
      <c r="F10" s="169"/>
      <c r="G10" s="169"/>
      <c r="H10" s="169"/>
      <c r="I10" s="169"/>
      <c r="J10" s="169"/>
      <c r="K10" s="170"/>
      <c r="L10" s="169"/>
      <c r="M10" s="171"/>
      <c r="N10" s="171"/>
      <c r="O10" s="169"/>
      <c r="P10" s="172"/>
    </row>
    <row r="11" spans="1:29" s="181" customFormat="1" ht="25.5" customHeight="1">
      <c r="A11" s="174"/>
      <c r="B11" s="64"/>
      <c r="C11" s="64"/>
      <c r="D11" s="3"/>
      <c r="E11" s="3"/>
      <c r="F11" s="174"/>
      <c r="G11" s="176"/>
      <c r="H11" s="176"/>
      <c r="I11" s="177"/>
      <c r="J11" s="174"/>
      <c r="K11" s="178"/>
      <c r="L11" s="174"/>
      <c r="M11" s="179"/>
      <c r="N11" s="179"/>
      <c r="O11" s="174"/>
      <c r="P11" s="180"/>
    </row>
    <row r="12" spans="1:29" s="181" customFormat="1" ht="25.5" customHeight="1">
      <c r="A12" s="182"/>
      <c r="B12" s="66"/>
      <c r="C12" s="66"/>
      <c r="D12" s="65"/>
      <c r="E12" s="65"/>
      <c r="F12" s="182"/>
      <c r="G12" s="183"/>
      <c r="H12" s="183"/>
      <c r="I12" s="184"/>
      <c r="J12" s="182"/>
      <c r="K12" s="185"/>
      <c r="L12" s="182"/>
      <c r="M12" s="186"/>
      <c r="N12" s="186"/>
      <c r="O12" s="187"/>
      <c r="P12" s="180"/>
    </row>
    <row r="13" spans="1:29" s="181" customFormat="1" ht="25.5" customHeight="1">
      <c r="B13" s="5"/>
      <c r="C13" s="4"/>
      <c r="D13" s="4"/>
      <c r="E13" s="4"/>
      <c r="G13" s="188"/>
      <c r="H13" s="188"/>
      <c r="I13" s="189"/>
      <c r="K13" s="190"/>
      <c r="M13" s="191"/>
      <c r="N13" s="191"/>
      <c r="P13" s="180"/>
    </row>
    <row r="14" spans="1:29" s="181" customFormat="1" ht="25.5" customHeight="1">
      <c r="B14" s="5"/>
      <c r="C14" s="4"/>
      <c r="D14" s="4"/>
      <c r="E14" s="4"/>
      <c r="G14" s="188"/>
      <c r="H14" s="188"/>
      <c r="I14" s="189"/>
      <c r="K14" s="190"/>
      <c r="M14" s="191"/>
      <c r="N14" s="191"/>
      <c r="P14" s="180"/>
    </row>
    <row r="15" spans="1:29" s="192" customFormat="1" ht="25.5" customHeight="1">
      <c r="B15" s="570" t="s">
        <v>3</v>
      </c>
      <c r="C15" s="570"/>
      <c r="D15" s="570"/>
      <c r="E15" s="570"/>
      <c r="F15" s="570"/>
      <c r="G15" s="570"/>
      <c r="H15" s="193"/>
      <c r="J15" s="194"/>
      <c r="K15" s="194"/>
      <c r="M15" s="195"/>
      <c r="N15" s="195"/>
      <c r="P15" s="196"/>
      <c r="V15" s="197"/>
      <c r="AA15" s="197"/>
      <c r="AB15" s="197"/>
      <c r="AC15" s="197"/>
    </row>
    <row r="16" spans="1:29" s="192" customFormat="1" ht="25.5" customHeight="1">
      <c r="B16" s="570"/>
      <c r="C16" s="570"/>
      <c r="D16" s="570"/>
      <c r="E16" s="570"/>
      <c r="F16" s="570"/>
      <c r="G16" s="570"/>
      <c r="H16" s="193"/>
      <c r="J16" s="194"/>
      <c r="K16" s="194"/>
      <c r="M16" s="195"/>
      <c r="N16" s="195"/>
      <c r="P16" s="196"/>
      <c r="V16" s="197"/>
      <c r="AA16" s="197"/>
      <c r="AB16" s="197"/>
      <c r="AC16" s="197"/>
    </row>
    <row r="17" spans="2:29" s="192" customFormat="1" ht="25.5" customHeight="1">
      <c r="B17" s="570"/>
      <c r="C17" s="570"/>
      <c r="D17" s="570"/>
      <c r="E17" s="570"/>
      <c r="F17" s="570"/>
      <c r="G17" s="570"/>
      <c r="H17" s="193"/>
      <c r="J17" s="194"/>
      <c r="K17" s="194"/>
      <c r="M17" s="195"/>
      <c r="N17" s="195"/>
      <c r="P17" s="196"/>
      <c r="V17" s="197"/>
      <c r="AA17" s="197"/>
      <c r="AB17" s="197"/>
      <c r="AC17" s="197"/>
    </row>
    <row r="18" spans="2:29" s="192" customFormat="1" ht="25.5" customHeight="1">
      <c r="B18" s="7" t="s">
        <v>4</v>
      </c>
      <c r="C18" s="7"/>
      <c r="D18" s="7"/>
      <c r="E18" s="7"/>
      <c r="F18" s="198"/>
      <c r="H18" s="193"/>
      <c r="J18" s="194"/>
      <c r="K18" s="194"/>
      <c r="M18" s="195"/>
      <c r="N18" s="195"/>
      <c r="P18" s="196"/>
      <c r="V18" s="197"/>
      <c r="W18" s="197"/>
      <c r="X18" s="197"/>
      <c r="Y18" s="197"/>
      <c r="Z18" s="197"/>
      <c r="AA18" s="197"/>
      <c r="AB18" s="197"/>
      <c r="AC18" s="197"/>
    </row>
    <row r="19" spans="2:29" s="192" customFormat="1" ht="25.5" customHeight="1">
      <c r="B19" s="589" t="s">
        <v>5</v>
      </c>
      <c r="C19" s="589"/>
      <c r="D19" s="589"/>
      <c r="E19" s="589"/>
      <c r="F19" s="589"/>
      <c r="G19" s="199"/>
      <c r="H19" s="200"/>
      <c r="I19" s="199"/>
      <c r="J19" s="201"/>
      <c r="K19" s="202"/>
      <c r="L19" s="199"/>
      <c r="M19" s="203"/>
      <c r="N19" s="203"/>
      <c r="O19" s="199"/>
      <c r="P19" s="204"/>
      <c r="V19" s="197"/>
      <c r="W19" s="197"/>
      <c r="X19" s="197"/>
      <c r="Y19" s="197"/>
      <c r="Z19" s="197"/>
      <c r="AA19" s="197"/>
      <c r="AB19" s="197"/>
      <c r="AC19" s="197"/>
    </row>
    <row r="20" spans="2:29" s="192" customFormat="1" ht="25.5" customHeight="1">
      <c r="B20" s="8" t="s">
        <v>6</v>
      </c>
      <c r="C20" s="78"/>
      <c r="D20" s="78"/>
      <c r="E20" s="78"/>
      <c r="F20" s="205"/>
      <c r="G20" s="199"/>
      <c r="H20" s="200"/>
      <c r="I20" s="199"/>
      <c r="J20" s="201"/>
      <c r="K20" s="202"/>
      <c r="L20" s="199"/>
      <c r="M20" s="203"/>
      <c r="N20" s="203"/>
      <c r="O20" s="199"/>
      <c r="P20" s="204"/>
      <c r="V20" s="197"/>
      <c r="W20" s="197"/>
      <c r="X20" s="197"/>
      <c r="Y20" s="197"/>
      <c r="Z20" s="206"/>
      <c r="AA20" s="207"/>
      <c r="AB20" s="197"/>
      <c r="AC20" s="197"/>
    </row>
    <row r="21" spans="2:29" s="192" customFormat="1" ht="25.5" customHeight="1">
      <c r="B21" s="145"/>
      <c r="C21" s="145"/>
      <c r="D21" s="145"/>
      <c r="E21" s="145"/>
      <c r="F21" s="205"/>
      <c r="G21" s="199"/>
      <c r="H21" s="200"/>
      <c r="I21" s="199"/>
      <c r="J21" s="201"/>
      <c r="K21" s="202"/>
      <c r="L21" s="199"/>
      <c r="M21" s="203"/>
      <c r="N21" s="203"/>
      <c r="O21" s="199"/>
      <c r="P21" s="204"/>
      <c r="S21" s="208"/>
      <c r="T21" s="208"/>
      <c r="U21" s="208"/>
      <c r="V21" s="197"/>
      <c r="W21" s="197"/>
      <c r="X21" s="197"/>
      <c r="Y21" s="197"/>
      <c r="Z21" s="197"/>
      <c r="AA21" s="197"/>
      <c r="AB21" s="206"/>
      <c r="AC21" s="197"/>
    </row>
    <row r="22" spans="2:29" s="192" customFormat="1" ht="25.5" customHeight="1">
      <c r="B22" s="145"/>
      <c r="C22" s="145"/>
      <c r="D22" s="145"/>
      <c r="E22" s="145"/>
      <c r="F22" s="205"/>
      <c r="G22" s="199"/>
      <c r="H22" s="200"/>
      <c r="I22" s="199"/>
      <c r="J22" s="201"/>
      <c r="K22" s="202"/>
      <c r="L22" s="199"/>
      <c r="M22" s="203"/>
      <c r="N22" s="203"/>
      <c r="O22" s="199"/>
      <c r="P22" s="204"/>
      <c r="S22" s="208"/>
      <c r="T22" s="208"/>
      <c r="U22" s="208"/>
      <c r="V22" s="197"/>
      <c r="W22" s="197"/>
      <c r="X22" s="197"/>
      <c r="Y22" s="197"/>
      <c r="Z22" s="197"/>
      <c r="AA22" s="197"/>
      <c r="AB22" s="206"/>
      <c r="AC22" s="197"/>
    </row>
    <row r="23" spans="2:29" ht="31">
      <c r="B23" s="517" t="s">
        <v>7</v>
      </c>
      <c r="C23" s="11"/>
      <c r="D23" s="11"/>
      <c r="I23" s="173"/>
      <c r="M23" s="210"/>
      <c r="N23" s="210"/>
      <c r="O23" s="208"/>
      <c r="P23" s="211"/>
    </row>
    <row r="24" spans="2:29" s="216" customFormat="1" ht="52">
      <c r="B24" s="518" t="s">
        <v>79</v>
      </c>
      <c r="C24" s="13" t="s">
        <v>8</v>
      </c>
      <c r="D24" s="13" t="s">
        <v>9</v>
      </c>
      <c r="E24" s="14" t="s">
        <v>10</v>
      </c>
      <c r="F24" s="212"/>
      <c r="G24" s="213" t="s">
        <v>11</v>
      </c>
      <c r="H24" s="213" t="s">
        <v>12</v>
      </c>
      <c r="I24" s="214" t="s">
        <v>13</v>
      </c>
      <c r="J24" s="214" t="s">
        <v>14</v>
      </c>
      <c r="K24" s="214" t="s">
        <v>15</v>
      </c>
      <c r="L24" s="215"/>
      <c r="M24" s="213" t="s">
        <v>16</v>
      </c>
      <c r="N24" s="213" t="s">
        <v>17</v>
      </c>
      <c r="P24" s="217"/>
      <c r="T24" s="218"/>
      <c r="U24" s="219"/>
      <c r="V24" s="219"/>
      <c r="W24" s="219"/>
      <c r="X24" s="218"/>
    </row>
    <row r="25" spans="2:29" s="197" customFormat="1" ht="25.5" customHeight="1">
      <c r="B25" s="519" t="s">
        <v>98</v>
      </c>
      <c r="C25" s="16">
        <v>1</v>
      </c>
      <c r="D25" s="16">
        <v>1</v>
      </c>
      <c r="E25" s="124">
        <v>40</v>
      </c>
      <c r="F25" s="220"/>
      <c r="G25" s="221">
        <f t="shared" ref="G25:G35" si="0">H25/720</f>
        <v>0.38750000000000001</v>
      </c>
      <c r="H25" s="222">
        <f>C25*IAAS_vcpu_SEK+D25*IAAS_ram_SEK+E25*IAAS_ssd_SEK</f>
        <v>279</v>
      </c>
      <c r="I25" s="223"/>
      <c r="J25" s="223"/>
      <c r="K25" s="223"/>
      <c r="L25" s="220" t="s">
        <v>18</v>
      </c>
      <c r="M25" s="224">
        <f>ROUNDUP(I25*H25,2)</f>
        <v>0</v>
      </c>
      <c r="N25" s="224">
        <f t="shared" ref="N25:N35" si="1">J25*C25*SW_win.ser.201X_SEK+K25*C25*SW_ms.sql.ser_SEK</f>
        <v>0</v>
      </c>
      <c r="P25" s="225"/>
    </row>
    <row r="26" spans="2:29" s="197" customFormat="1" ht="25.5" customHeight="1">
      <c r="B26" s="520" t="s">
        <v>99</v>
      </c>
      <c r="C26" s="18">
        <v>1</v>
      </c>
      <c r="D26" s="18">
        <v>2</v>
      </c>
      <c r="E26" s="503">
        <v>40</v>
      </c>
      <c r="F26" s="226"/>
      <c r="G26" s="227">
        <f t="shared" si="0"/>
        <v>0.46388888888888891</v>
      </c>
      <c r="H26" s="228">
        <f t="shared" ref="H26:H35" si="2">C26*IAAS_vcpu_SEK+D26*IAAS_ram_SEK+E26*IAAS_ssd_SEK</f>
        <v>334</v>
      </c>
      <c r="I26" s="223"/>
      <c r="J26" s="223"/>
      <c r="K26" s="223"/>
      <c r="L26" s="226" t="s">
        <v>18</v>
      </c>
      <c r="M26" s="229">
        <f t="shared" ref="M26:M35" si="3">ROUNDUP(I26*H26,2)</f>
        <v>0</v>
      </c>
      <c r="N26" s="229">
        <f t="shared" si="1"/>
        <v>0</v>
      </c>
      <c r="P26" s="225"/>
    </row>
    <row r="27" spans="2:29" s="197" customFormat="1" ht="25.5" customHeight="1">
      <c r="B27" s="519" t="s">
        <v>100</v>
      </c>
      <c r="C27" s="16">
        <v>2</v>
      </c>
      <c r="D27" s="16">
        <v>4</v>
      </c>
      <c r="E27" s="124">
        <v>40</v>
      </c>
      <c r="F27" s="220"/>
      <c r="G27" s="221">
        <f t="shared" si="0"/>
        <v>0.72777777777777775</v>
      </c>
      <c r="H27" s="222">
        <f t="shared" si="2"/>
        <v>524</v>
      </c>
      <c r="I27" s="223"/>
      <c r="J27" s="223"/>
      <c r="K27" s="223"/>
      <c r="L27" s="220" t="s">
        <v>18</v>
      </c>
      <c r="M27" s="224">
        <f t="shared" si="3"/>
        <v>0</v>
      </c>
      <c r="N27" s="224">
        <f t="shared" si="1"/>
        <v>0</v>
      </c>
      <c r="O27" s="230"/>
      <c r="P27" s="225"/>
    </row>
    <row r="28" spans="2:29" s="197" customFormat="1" ht="25.5" customHeight="1">
      <c r="B28" s="520" t="s">
        <v>101</v>
      </c>
      <c r="C28" s="18">
        <v>4</v>
      </c>
      <c r="D28" s="18">
        <v>8</v>
      </c>
      <c r="E28" s="503">
        <v>40</v>
      </c>
      <c r="F28" s="226"/>
      <c r="G28" s="227">
        <f t="shared" si="0"/>
        <v>1.2555555555555555</v>
      </c>
      <c r="H28" s="228">
        <f t="shared" si="2"/>
        <v>904</v>
      </c>
      <c r="I28" s="223"/>
      <c r="J28" s="223"/>
      <c r="K28" s="223"/>
      <c r="L28" s="226" t="s">
        <v>18</v>
      </c>
      <c r="M28" s="229">
        <f t="shared" si="3"/>
        <v>0</v>
      </c>
      <c r="N28" s="229">
        <f t="shared" si="1"/>
        <v>0</v>
      </c>
      <c r="P28" s="225"/>
    </row>
    <row r="29" spans="2:29" s="197" customFormat="1" ht="25.5" customHeight="1">
      <c r="B29" s="519" t="s">
        <v>102</v>
      </c>
      <c r="C29" s="16">
        <v>8</v>
      </c>
      <c r="D29" s="16">
        <v>16</v>
      </c>
      <c r="E29" s="124">
        <v>40</v>
      </c>
      <c r="F29" s="220"/>
      <c r="G29" s="221">
        <f t="shared" si="0"/>
        <v>2.3111111111111109</v>
      </c>
      <c r="H29" s="222">
        <f t="shared" si="2"/>
        <v>1664</v>
      </c>
      <c r="I29" s="223"/>
      <c r="J29" s="223"/>
      <c r="K29" s="223"/>
      <c r="L29" s="220" t="s">
        <v>18</v>
      </c>
      <c r="M29" s="224">
        <f t="shared" si="3"/>
        <v>0</v>
      </c>
      <c r="N29" s="224">
        <f t="shared" si="1"/>
        <v>0</v>
      </c>
      <c r="P29" s="225"/>
    </row>
    <row r="30" spans="2:29" s="197" customFormat="1" ht="25.5" customHeight="1">
      <c r="B30" s="520" t="s">
        <v>287</v>
      </c>
      <c r="C30" s="18">
        <v>16</v>
      </c>
      <c r="D30" s="18">
        <v>32</v>
      </c>
      <c r="E30" s="503">
        <v>40</v>
      </c>
      <c r="F30" s="226"/>
      <c r="G30" s="227">
        <f t="shared" si="0"/>
        <v>4.4222222222222225</v>
      </c>
      <c r="H30" s="228">
        <f t="shared" si="2"/>
        <v>3184</v>
      </c>
      <c r="I30" s="223"/>
      <c r="J30" s="223"/>
      <c r="K30" s="223"/>
      <c r="L30" s="226" t="s">
        <v>18</v>
      </c>
      <c r="M30" s="229">
        <f t="shared" si="3"/>
        <v>0</v>
      </c>
      <c r="N30" s="229">
        <f t="shared" si="1"/>
        <v>0</v>
      </c>
      <c r="P30" s="225"/>
    </row>
    <row r="31" spans="2:29" s="197" customFormat="1" ht="25.5" customHeight="1">
      <c r="B31" s="519" t="s">
        <v>103</v>
      </c>
      <c r="C31" s="16">
        <v>1</v>
      </c>
      <c r="D31" s="16">
        <v>4</v>
      </c>
      <c r="E31" s="124">
        <v>40</v>
      </c>
      <c r="F31" s="220"/>
      <c r="G31" s="221">
        <f t="shared" si="0"/>
        <v>0.6166666666666667</v>
      </c>
      <c r="H31" s="222">
        <f t="shared" si="2"/>
        <v>444</v>
      </c>
      <c r="I31" s="223"/>
      <c r="J31" s="223"/>
      <c r="K31" s="223"/>
      <c r="L31" s="220" t="s">
        <v>18</v>
      </c>
      <c r="M31" s="224">
        <f t="shared" si="3"/>
        <v>0</v>
      </c>
      <c r="N31" s="224">
        <f t="shared" si="1"/>
        <v>0</v>
      </c>
      <c r="P31" s="225"/>
    </row>
    <row r="32" spans="2:29" s="197" customFormat="1" ht="25.5" customHeight="1">
      <c r="B32" s="520" t="s">
        <v>104</v>
      </c>
      <c r="C32" s="18">
        <v>2</v>
      </c>
      <c r="D32" s="18">
        <v>8</v>
      </c>
      <c r="E32" s="503">
        <v>40</v>
      </c>
      <c r="F32" s="226"/>
      <c r="G32" s="227">
        <f t="shared" si="0"/>
        <v>1.0333333333333334</v>
      </c>
      <c r="H32" s="228">
        <f t="shared" si="2"/>
        <v>744</v>
      </c>
      <c r="I32" s="223"/>
      <c r="J32" s="223"/>
      <c r="K32" s="223"/>
      <c r="L32" s="226" t="s">
        <v>18</v>
      </c>
      <c r="M32" s="229">
        <f t="shared" si="3"/>
        <v>0</v>
      </c>
      <c r="N32" s="229">
        <f t="shared" si="1"/>
        <v>0</v>
      </c>
      <c r="P32" s="225"/>
    </row>
    <row r="33" spans="2:23" s="197" customFormat="1" ht="25.5" customHeight="1">
      <c r="B33" s="519" t="s">
        <v>211</v>
      </c>
      <c r="C33" s="16">
        <v>4</v>
      </c>
      <c r="D33" s="16">
        <v>16</v>
      </c>
      <c r="E33" s="124">
        <v>40</v>
      </c>
      <c r="F33" s="220"/>
      <c r="G33" s="221">
        <f t="shared" si="0"/>
        <v>1.8666666666666667</v>
      </c>
      <c r="H33" s="222">
        <f t="shared" si="2"/>
        <v>1344</v>
      </c>
      <c r="I33" s="223"/>
      <c r="J33" s="223"/>
      <c r="K33" s="223"/>
      <c r="L33" s="220" t="s">
        <v>18</v>
      </c>
      <c r="M33" s="224">
        <f t="shared" si="3"/>
        <v>0</v>
      </c>
      <c r="N33" s="224">
        <f t="shared" si="1"/>
        <v>0</v>
      </c>
      <c r="P33" s="225"/>
    </row>
    <row r="34" spans="2:23" s="197" customFormat="1" ht="25.5" customHeight="1">
      <c r="B34" s="520" t="s">
        <v>105</v>
      </c>
      <c r="C34" s="18">
        <v>8</v>
      </c>
      <c r="D34" s="18">
        <v>32</v>
      </c>
      <c r="E34" s="503">
        <v>40</v>
      </c>
      <c r="F34" s="226"/>
      <c r="G34" s="227">
        <f t="shared" si="0"/>
        <v>3.5333333333333332</v>
      </c>
      <c r="H34" s="228">
        <f t="shared" si="2"/>
        <v>2544</v>
      </c>
      <c r="I34" s="223"/>
      <c r="J34" s="223"/>
      <c r="K34" s="223"/>
      <c r="L34" s="226" t="s">
        <v>18</v>
      </c>
      <c r="M34" s="229">
        <f t="shared" si="3"/>
        <v>0</v>
      </c>
      <c r="N34" s="229">
        <f t="shared" si="1"/>
        <v>0</v>
      </c>
      <c r="P34" s="225"/>
      <c r="U34" s="206"/>
      <c r="V34" s="206"/>
      <c r="W34" s="206"/>
    </row>
    <row r="35" spans="2:23" s="197" customFormat="1" ht="25.5" customHeight="1">
      <c r="B35" s="519" t="s">
        <v>288</v>
      </c>
      <c r="C35" s="16">
        <v>16</v>
      </c>
      <c r="D35" s="16">
        <v>64</v>
      </c>
      <c r="E35" s="124">
        <v>40</v>
      </c>
      <c r="F35" s="220"/>
      <c r="G35" s="221">
        <f t="shared" si="0"/>
        <v>6.8666666666666663</v>
      </c>
      <c r="H35" s="222">
        <f t="shared" si="2"/>
        <v>4944</v>
      </c>
      <c r="I35" s="223"/>
      <c r="J35" s="223"/>
      <c r="K35" s="223"/>
      <c r="L35" s="220" t="s">
        <v>18</v>
      </c>
      <c r="M35" s="224">
        <f t="shared" si="3"/>
        <v>0</v>
      </c>
      <c r="N35" s="224">
        <f t="shared" si="1"/>
        <v>0</v>
      </c>
      <c r="P35" s="225"/>
      <c r="U35" s="206"/>
      <c r="V35" s="206"/>
      <c r="W35" s="206"/>
    </row>
    <row r="36" spans="2:23" ht="25.5" customHeight="1">
      <c r="B36" s="521" t="s">
        <v>20</v>
      </c>
      <c r="C36" s="91"/>
      <c r="D36" s="91"/>
      <c r="E36" s="91"/>
      <c r="F36" s="231"/>
      <c r="G36" s="232"/>
      <c r="H36" s="233"/>
      <c r="I36" s="308" t="str">
        <f>SUM(I25:I35)&amp;" st"</f>
        <v>0 st</v>
      </c>
      <c r="J36" s="308" t="str">
        <f>SUM(J25:J35)&amp;" st"</f>
        <v>0 st</v>
      </c>
      <c r="K36" s="308" t="str">
        <f>SUM(K25:K35)&amp;" st"</f>
        <v>0 st</v>
      </c>
      <c r="L36" s="168"/>
      <c r="M36" s="92">
        <f>SUM(M25:M35)</f>
        <v>0</v>
      </c>
      <c r="N36" s="93">
        <f>SUM(N25:N35)</f>
        <v>0</v>
      </c>
      <c r="O36" s="208"/>
      <c r="P36" s="211"/>
      <c r="U36" s="206"/>
      <c r="V36" s="206"/>
      <c r="W36" s="234"/>
    </row>
    <row r="37" spans="2:23" ht="25.5" customHeight="1">
      <c r="B37" s="522"/>
      <c r="C37" s="21"/>
      <c r="D37" s="21"/>
      <c r="E37" s="21"/>
      <c r="F37" s="235"/>
      <c r="G37" s="236"/>
      <c r="H37" s="237"/>
      <c r="I37" s="50"/>
      <c r="J37" s="50"/>
      <c r="K37" s="50"/>
      <c r="L37" s="238"/>
      <c r="M37" s="50"/>
      <c r="N37" s="51"/>
      <c r="O37" s="208"/>
      <c r="P37" s="211"/>
      <c r="U37" s="206"/>
      <c r="V37" s="206"/>
      <c r="W37" s="234"/>
    </row>
    <row r="38" spans="2:23" ht="25.5" customHeight="1">
      <c r="B38" s="522"/>
      <c r="C38" s="21"/>
      <c r="D38" s="21"/>
      <c r="E38" s="21"/>
      <c r="F38" s="235"/>
      <c r="G38" s="236"/>
      <c r="H38" s="237"/>
      <c r="I38" s="50"/>
      <c r="J38" s="50"/>
      <c r="K38" s="50"/>
      <c r="L38" s="238"/>
      <c r="M38" s="50"/>
      <c r="N38" s="51"/>
      <c r="O38" s="208"/>
      <c r="P38" s="211"/>
      <c r="U38" s="206"/>
      <c r="V38" s="206"/>
      <c r="W38" s="234"/>
    </row>
    <row r="39" spans="2:23" s="243" customFormat="1" ht="31">
      <c r="B39" s="479" t="s">
        <v>19</v>
      </c>
      <c r="C39" s="114"/>
      <c r="D39" s="114"/>
      <c r="E39" s="114"/>
      <c r="F39" s="239"/>
      <c r="G39" s="239"/>
      <c r="H39" s="240"/>
      <c r="I39" s="241"/>
      <c r="J39" s="241"/>
      <c r="K39" s="241"/>
      <c r="L39" s="241"/>
      <c r="M39" s="242"/>
      <c r="N39" s="242"/>
      <c r="P39" s="244"/>
      <c r="U39" s="245"/>
      <c r="V39" s="245"/>
      <c r="W39" s="246"/>
    </row>
    <row r="40" spans="2:23" s="247" customFormat="1" ht="52">
      <c r="B40" s="518" t="s">
        <v>79</v>
      </c>
      <c r="C40" s="13" t="s">
        <v>8</v>
      </c>
      <c r="D40" s="13" t="s">
        <v>9</v>
      </c>
      <c r="E40" s="14" t="s">
        <v>10</v>
      </c>
      <c r="F40" s="212"/>
      <c r="G40" s="213" t="s">
        <v>11</v>
      </c>
      <c r="H40" s="213" t="s">
        <v>12</v>
      </c>
      <c r="I40" s="214" t="s">
        <v>13</v>
      </c>
      <c r="J40" s="214" t="s">
        <v>14</v>
      </c>
      <c r="K40" s="214" t="s">
        <v>15</v>
      </c>
      <c r="L40" s="215"/>
      <c r="M40" s="213" t="s">
        <v>16</v>
      </c>
      <c r="N40" s="213" t="s">
        <v>17</v>
      </c>
      <c r="P40" s="211"/>
      <c r="Q40" s="208"/>
      <c r="R40" s="208"/>
      <c r="S40" s="208"/>
      <c r="T40" s="208"/>
      <c r="U40" s="206"/>
      <c r="V40" s="206"/>
      <c r="W40" s="234"/>
    </row>
    <row r="41" spans="2:23" s="197" customFormat="1" ht="25.5" customHeight="1">
      <c r="B41" s="524" t="s">
        <v>268</v>
      </c>
      <c r="C41" s="102">
        <v>1</v>
      </c>
      <c r="D41" s="102">
        <v>1</v>
      </c>
      <c r="E41" s="104">
        <v>80</v>
      </c>
      <c r="F41" s="252"/>
      <c r="G41" s="253">
        <f t="shared" ref="G41:G59" si="4">H41/720</f>
        <v>0.2986111111111111</v>
      </c>
      <c r="H41" s="254">
        <f t="shared" ref="H41:H59" si="5">C41*IAAS_vcpu_SEK+D41*IAAS_ram_SEK+E41*IAAS_nvme_SEK</f>
        <v>215</v>
      </c>
      <c r="I41" s="223"/>
      <c r="J41" s="223"/>
      <c r="K41" s="223"/>
      <c r="L41" s="255" t="s">
        <v>18</v>
      </c>
      <c r="M41" s="224">
        <f t="shared" ref="M41:M59" si="6">ROUNDUP(I41*H41,2)</f>
        <v>0</v>
      </c>
      <c r="N41" s="224">
        <f t="shared" ref="N41:N59" si="7">J41*C41*SW_win.ser.201X_SEK+K41*C41*SW_ms.sql.ser_SEK</f>
        <v>0</v>
      </c>
      <c r="P41" s="225"/>
      <c r="U41" s="206"/>
      <c r="W41" s="206"/>
    </row>
    <row r="42" spans="2:23" s="197" customFormat="1" ht="25.5" customHeight="1">
      <c r="B42" s="525" t="s">
        <v>269</v>
      </c>
      <c r="C42" s="103">
        <v>4</v>
      </c>
      <c r="D42" s="103">
        <v>8</v>
      </c>
      <c r="E42" s="123">
        <v>250</v>
      </c>
      <c r="F42" s="256"/>
      <c r="G42" s="249">
        <f t="shared" si="4"/>
        <v>1.4027777777777777</v>
      </c>
      <c r="H42" s="250">
        <f t="shared" si="5"/>
        <v>1010</v>
      </c>
      <c r="I42" s="223"/>
      <c r="J42" s="223"/>
      <c r="K42" s="223"/>
      <c r="L42" s="257" t="s">
        <v>18</v>
      </c>
      <c r="M42" s="229">
        <f t="shared" si="6"/>
        <v>0</v>
      </c>
      <c r="N42" s="229">
        <f t="shared" si="7"/>
        <v>0</v>
      </c>
      <c r="P42" s="225"/>
      <c r="U42" s="206"/>
      <c r="W42" s="206"/>
    </row>
    <row r="43" spans="2:23" s="197" customFormat="1" ht="25.5" customHeight="1">
      <c r="B43" s="524" t="s">
        <v>270</v>
      </c>
      <c r="C43" s="102">
        <v>8</v>
      </c>
      <c r="D43" s="102">
        <v>16</v>
      </c>
      <c r="E43" s="104">
        <v>250</v>
      </c>
      <c r="F43" s="252"/>
      <c r="G43" s="253">
        <f t="shared" si="4"/>
        <v>2.4583333333333335</v>
      </c>
      <c r="H43" s="254">
        <f t="shared" si="5"/>
        <v>1770</v>
      </c>
      <c r="I43" s="223"/>
      <c r="J43" s="223"/>
      <c r="K43" s="223"/>
      <c r="L43" s="255" t="s">
        <v>18</v>
      </c>
      <c r="M43" s="224">
        <f t="shared" si="6"/>
        <v>0</v>
      </c>
      <c r="N43" s="224">
        <f t="shared" si="7"/>
        <v>0</v>
      </c>
      <c r="P43" s="225"/>
      <c r="U43" s="206"/>
      <c r="W43" s="206"/>
    </row>
    <row r="44" spans="2:23" s="197" customFormat="1" ht="25.5" customHeight="1">
      <c r="B44" s="525" t="s">
        <v>271</v>
      </c>
      <c r="C44" s="103">
        <v>16</v>
      </c>
      <c r="D44" s="103">
        <v>32</v>
      </c>
      <c r="E44" s="123">
        <v>250</v>
      </c>
      <c r="F44" s="256"/>
      <c r="G44" s="249">
        <f t="shared" si="4"/>
        <v>4.5694444444444446</v>
      </c>
      <c r="H44" s="250">
        <f t="shared" si="5"/>
        <v>3290</v>
      </c>
      <c r="I44" s="223"/>
      <c r="J44" s="223"/>
      <c r="K44" s="223"/>
      <c r="L44" s="257" t="s">
        <v>18</v>
      </c>
      <c r="M44" s="229">
        <f t="shared" si="6"/>
        <v>0</v>
      </c>
      <c r="N44" s="229">
        <f t="shared" si="7"/>
        <v>0</v>
      </c>
      <c r="P44" s="225"/>
      <c r="U44" s="206"/>
      <c r="W44" s="206"/>
    </row>
    <row r="45" spans="2:23" s="197" customFormat="1" ht="25.5" customHeight="1">
      <c r="B45" s="524" t="s">
        <v>272</v>
      </c>
      <c r="C45" s="102">
        <v>16</v>
      </c>
      <c r="D45" s="102">
        <v>32</v>
      </c>
      <c r="E45" s="104">
        <v>500</v>
      </c>
      <c r="F45" s="252"/>
      <c r="G45" s="253">
        <f t="shared" si="4"/>
        <v>4.916666666666667</v>
      </c>
      <c r="H45" s="254">
        <f t="shared" si="5"/>
        <v>3540</v>
      </c>
      <c r="I45" s="223"/>
      <c r="J45" s="223"/>
      <c r="K45" s="223"/>
      <c r="L45" s="255" t="s">
        <v>18</v>
      </c>
      <c r="M45" s="224">
        <f t="shared" si="6"/>
        <v>0</v>
      </c>
      <c r="N45" s="224">
        <f t="shared" si="7"/>
        <v>0</v>
      </c>
      <c r="P45" s="225"/>
      <c r="U45" s="206"/>
      <c r="W45" s="206"/>
    </row>
    <row r="46" spans="2:23" s="197" customFormat="1" ht="25.5" customHeight="1">
      <c r="B46" s="525" t="s">
        <v>286</v>
      </c>
      <c r="C46" s="103">
        <v>16</v>
      </c>
      <c r="D46" s="103">
        <v>32</v>
      </c>
      <c r="E46" s="123">
        <v>1000</v>
      </c>
      <c r="F46" s="256"/>
      <c r="G46" s="249">
        <f t="shared" si="4"/>
        <v>5.6111111111111107</v>
      </c>
      <c r="H46" s="250">
        <f t="shared" si="5"/>
        <v>4040</v>
      </c>
      <c r="I46" s="223"/>
      <c r="J46" s="223"/>
      <c r="K46" s="223"/>
      <c r="L46" s="257" t="s">
        <v>18</v>
      </c>
      <c r="M46" s="229">
        <f t="shared" si="6"/>
        <v>0</v>
      </c>
      <c r="N46" s="229">
        <f t="shared" si="7"/>
        <v>0</v>
      </c>
      <c r="P46" s="225"/>
      <c r="U46" s="206"/>
      <c r="W46" s="206"/>
    </row>
    <row r="47" spans="2:23" s="197" customFormat="1" ht="25.5" customHeight="1">
      <c r="B47" s="524" t="s">
        <v>273</v>
      </c>
      <c r="C47" s="102">
        <v>32</v>
      </c>
      <c r="D47" s="102">
        <v>64</v>
      </c>
      <c r="E47" s="104">
        <v>250</v>
      </c>
      <c r="F47" s="252"/>
      <c r="G47" s="253">
        <f t="shared" si="4"/>
        <v>8.7916666666666661</v>
      </c>
      <c r="H47" s="254">
        <f t="shared" si="5"/>
        <v>6330</v>
      </c>
      <c r="I47" s="223"/>
      <c r="J47" s="223"/>
      <c r="K47" s="223"/>
      <c r="L47" s="255" t="s">
        <v>18</v>
      </c>
      <c r="M47" s="224">
        <f t="shared" si="6"/>
        <v>0</v>
      </c>
      <c r="N47" s="224">
        <f t="shared" si="7"/>
        <v>0</v>
      </c>
      <c r="P47" s="225"/>
      <c r="U47" s="206"/>
      <c r="W47" s="206"/>
    </row>
    <row r="48" spans="2:23" s="197" customFormat="1" ht="25.5" customHeight="1">
      <c r="B48" s="525" t="s">
        <v>274</v>
      </c>
      <c r="C48" s="103">
        <v>32</v>
      </c>
      <c r="D48" s="103">
        <v>64</v>
      </c>
      <c r="E48" s="123">
        <v>500</v>
      </c>
      <c r="F48" s="256"/>
      <c r="G48" s="249">
        <f t="shared" si="4"/>
        <v>9.1388888888888893</v>
      </c>
      <c r="H48" s="250">
        <f t="shared" si="5"/>
        <v>6580</v>
      </c>
      <c r="I48" s="223"/>
      <c r="J48" s="223"/>
      <c r="K48" s="223"/>
      <c r="L48" s="257" t="s">
        <v>18</v>
      </c>
      <c r="M48" s="229">
        <f t="shared" si="6"/>
        <v>0</v>
      </c>
      <c r="N48" s="229">
        <f t="shared" si="7"/>
        <v>0</v>
      </c>
      <c r="P48" s="225"/>
      <c r="U48" s="206"/>
      <c r="W48" s="206"/>
    </row>
    <row r="49" spans="2:24" s="197" customFormat="1" ht="25.5" customHeight="1">
      <c r="B49" s="524" t="s">
        <v>275</v>
      </c>
      <c r="C49" s="102">
        <v>32</v>
      </c>
      <c r="D49" s="102">
        <v>64</v>
      </c>
      <c r="E49" s="104">
        <v>1000</v>
      </c>
      <c r="F49" s="252"/>
      <c r="G49" s="253">
        <f t="shared" si="4"/>
        <v>9.8333333333333339</v>
      </c>
      <c r="H49" s="254">
        <f t="shared" si="5"/>
        <v>7080</v>
      </c>
      <c r="I49" s="223"/>
      <c r="J49" s="223"/>
      <c r="K49" s="223"/>
      <c r="L49" s="255" t="s">
        <v>18</v>
      </c>
      <c r="M49" s="224">
        <f t="shared" si="6"/>
        <v>0</v>
      </c>
      <c r="N49" s="224">
        <f t="shared" si="7"/>
        <v>0</v>
      </c>
      <c r="P49" s="225"/>
      <c r="U49" s="206"/>
      <c r="W49" s="206"/>
    </row>
    <row r="50" spans="2:24" s="197" customFormat="1" ht="25.5" customHeight="1">
      <c r="B50" s="525" t="s">
        <v>276</v>
      </c>
      <c r="C50" s="103">
        <v>4</v>
      </c>
      <c r="D50" s="103">
        <v>16</v>
      </c>
      <c r="E50" s="123">
        <v>250</v>
      </c>
      <c r="F50" s="256"/>
      <c r="G50" s="249">
        <f t="shared" si="4"/>
        <v>2.0138888888888888</v>
      </c>
      <c r="H50" s="250">
        <f t="shared" si="5"/>
        <v>1450</v>
      </c>
      <c r="I50" s="223"/>
      <c r="J50" s="223"/>
      <c r="K50" s="223"/>
      <c r="L50" s="257" t="s">
        <v>18</v>
      </c>
      <c r="M50" s="229">
        <f t="shared" si="6"/>
        <v>0</v>
      </c>
      <c r="N50" s="229">
        <f t="shared" si="7"/>
        <v>0</v>
      </c>
      <c r="P50" s="225"/>
      <c r="U50" s="206"/>
      <c r="W50" s="206"/>
    </row>
    <row r="51" spans="2:24" s="197" customFormat="1" ht="25.5" customHeight="1">
      <c r="B51" s="524" t="s">
        <v>277</v>
      </c>
      <c r="C51" s="102">
        <v>8</v>
      </c>
      <c r="D51" s="102">
        <v>32</v>
      </c>
      <c r="E51" s="104">
        <v>250</v>
      </c>
      <c r="F51" s="252"/>
      <c r="G51" s="253">
        <f t="shared" si="4"/>
        <v>3.6805555555555554</v>
      </c>
      <c r="H51" s="254">
        <f t="shared" si="5"/>
        <v>2650</v>
      </c>
      <c r="I51" s="223"/>
      <c r="J51" s="223"/>
      <c r="K51" s="223"/>
      <c r="L51" s="255" t="s">
        <v>18</v>
      </c>
      <c r="M51" s="224">
        <f t="shared" si="6"/>
        <v>0</v>
      </c>
      <c r="N51" s="224">
        <f t="shared" si="7"/>
        <v>0</v>
      </c>
      <c r="P51" s="225"/>
      <c r="U51" s="206"/>
      <c r="W51" s="206"/>
    </row>
    <row r="52" spans="2:24" s="197" customFormat="1" ht="25.5" customHeight="1">
      <c r="B52" s="525" t="s">
        <v>278</v>
      </c>
      <c r="C52" s="103">
        <v>8</v>
      </c>
      <c r="D52" s="103">
        <v>32</v>
      </c>
      <c r="E52" s="123">
        <v>500</v>
      </c>
      <c r="F52" s="256"/>
      <c r="G52" s="249">
        <f t="shared" si="4"/>
        <v>4.0277777777777777</v>
      </c>
      <c r="H52" s="250">
        <f t="shared" si="5"/>
        <v>2900</v>
      </c>
      <c r="I52" s="223"/>
      <c r="J52" s="223"/>
      <c r="K52" s="223"/>
      <c r="L52" s="257" t="s">
        <v>18</v>
      </c>
      <c r="M52" s="229">
        <f t="shared" si="6"/>
        <v>0</v>
      </c>
      <c r="N52" s="229">
        <f t="shared" si="7"/>
        <v>0</v>
      </c>
      <c r="P52" s="225"/>
      <c r="U52" s="206"/>
      <c r="W52" s="206"/>
    </row>
    <row r="53" spans="2:24" s="197" customFormat="1" ht="25.5" customHeight="1">
      <c r="B53" s="524" t="s">
        <v>279</v>
      </c>
      <c r="C53" s="102">
        <v>8</v>
      </c>
      <c r="D53" s="102">
        <v>32</v>
      </c>
      <c r="E53" s="104">
        <v>1000</v>
      </c>
      <c r="F53" s="252"/>
      <c r="G53" s="253">
        <f t="shared" ref="G53:G54" si="8">H53/720</f>
        <v>4.7222222222222223</v>
      </c>
      <c r="H53" s="254">
        <f t="shared" ref="H53:H54" si="9">C53*IAAS_vcpu_SEK+D53*IAAS_ram_SEK+E53*IAAS_nvme_SEK</f>
        <v>3400</v>
      </c>
      <c r="I53" s="223"/>
      <c r="J53" s="223"/>
      <c r="K53" s="223"/>
      <c r="L53" s="255" t="s">
        <v>18</v>
      </c>
      <c r="M53" s="224">
        <f t="shared" ref="M53:M54" si="10">ROUNDUP(I53*H53,2)</f>
        <v>0</v>
      </c>
      <c r="N53" s="224">
        <f t="shared" ref="N53:N54" si="11">J53*C53*SW_win.ser.201X_SEK+K53*C53*SW_ms.sql.ser_SEK</f>
        <v>0</v>
      </c>
      <c r="P53" s="225"/>
      <c r="U53" s="206"/>
      <c r="W53" s="206"/>
    </row>
    <row r="54" spans="2:24" s="197" customFormat="1" ht="25.5" customHeight="1">
      <c r="B54" s="525" t="s">
        <v>280</v>
      </c>
      <c r="C54" s="103">
        <v>16</v>
      </c>
      <c r="D54" s="103">
        <v>64</v>
      </c>
      <c r="E54" s="123">
        <v>250</v>
      </c>
      <c r="F54" s="256"/>
      <c r="G54" s="249">
        <f t="shared" si="8"/>
        <v>7.0138888888888893</v>
      </c>
      <c r="H54" s="250">
        <f t="shared" si="9"/>
        <v>5050</v>
      </c>
      <c r="I54" s="223"/>
      <c r="J54" s="223"/>
      <c r="K54" s="223"/>
      <c r="L54" s="257" t="s">
        <v>18</v>
      </c>
      <c r="M54" s="229">
        <f t="shared" si="10"/>
        <v>0</v>
      </c>
      <c r="N54" s="229">
        <f t="shared" si="11"/>
        <v>0</v>
      </c>
      <c r="P54" s="225"/>
      <c r="U54" s="206"/>
      <c r="W54" s="206"/>
    </row>
    <row r="55" spans="2:24" s="197" customFormat="1" ht="25.5" customHeight="1">
      <c r="B55" s="524" t="s">
        <v>281</v>
      </c>
      <c r="C55" s="102">
        <v>16</v>
      </c>
      <c r="D55" s="102">
        <v>64</v>
      </c>
      <c r="E55" s="104">
        <v>500</v>
      </c>
      <c r="F55" s="252"/>
      <c r="G55" s="253">
        <f t="shared" si="4"/>
        <v>7.3611111111111107</v>
      </c>
      <c r="H55" s="254">
        <f t="shared" si="5"/>
        <v>5300</v>
      </c>
      <c r="I55" s="223"/>
      <c r="J55" s="223"/>
      <c r="K55" s="223"/>
      <c r="L55" s="255" t="s">
        <v>18</v>
      </c>
      <c r="M55" s="224">
        <f t="shared" si="6"/>
        <v>0</v>
      </c>
      <c r="N55" s="224">
        <f t="shared" si="7"/>
        <v>0</v>
      </c>
      <c r="P55" s="225"/>
      <c r="U55" s="206"/>
      <c r="W55" s="206"/>
    </row>
    <row r="56" spans="2:24" s="197" customFormat="1" ht="25.5" customHeight="1">
      <c r="B56" s="525" t="s">
        <v>282</v>
      </c>
      <c r="C56" s="103">
        <v>16</v>
      </c>
      <c r="D56" s="103">
        <v>64</v>
      </c>
      <c r="E56" s="123">
        <v>1000</v>
      </c>
      <c r="F56" s="256"/>
      <c r="G56" s="249">
        <f t="shared" si="4"/>
        <v>8.0555555555555554</v>
      </c>
      <c r="H56" s="250">
        <f t="shared" si="5"/>
        <v>5800</v>
      </c>
      <c r="I56" s="223"/>
      <c r="J56" s="223"/>
      <c r="K56" s="223"/>
      <c r="L56" s="257" t="s">
        <v>18</v>
      </c>
      <c r="M56" s="229">
        <f t="shared" si="6"/>
        <v>0</v>
      </c>
      <c r="N56" s="229">
        <f t="shared" si="7"/>
        <v>0</v>
      </c>
      <c r="P56" s="225"/>
      <c r="U56" s="206"/>
      <c r="W56" s="206"/>
    </row>
    <row r="57" spans="2:24" s="197" customFormat="1" ht="25.5" customHeight="1">
      <c r="B57" s="524" t="s">
        <v>283</v>
      </c>
      <c r="C57" s="102">
        <v>32</v>
      </c>
      <c r="D57" s="102">
        <v>128</v>
      </c>
      <c r="E57" s="104">
        <v>250</v>
      </c>
      <c r="F57" s="252"/>
      <c r="G57" s="253">
        <f t="shared" si="4"/>
        <v>13.680555555555555</v>
      </c>
      <c r="H57" s="254">
        <f t="shared" si="5"/>
        <v>9850</v>
      </c>
      <c r="I57" s="223"/>
      <c r="J57" s="223"/>
      <c r="K57" s="223"/>
      <c r="L57" s="255" t="s">
        <v>18</v>
      </c>
      <c r="M57" s="224">
        <f t="shared" si="6"/>
        <v>0</v>
      </c>
      <c r="N57" s="224">
        <f t="shared" si="7"/>
        <v>0</v>
      </c>
      <c r="P57" s="225"/>
      <c r="U57" s="206"/>
      <c r="W57" s="206"/>
    </row>
    <row r="58" spans="2:24" s="197" customFormat="1" ht="25.5" customHeight="1">
      <c r="B58" s="525" t="s">
        <v>284</v>
      </c>
      <c r="C58" s="103">
        <v>32</v>
      </c>
      <c r="D58" s="103">
        <v>128</v>
      </c>
      <c r="E58" s="123">
        <v>500</v>
      </c>
      <c r="F58" s="256"/>
      <c r="G58" s="249">
        <f t="shared" si="4"/>
        <v>14.027777777777779</v>
      </c>
      <c r="H58" s="250">
        <f t="shared" si="5"/>
        <v>10100</v>
      </c>
      <c r="I58" s="223"/>
      <c r="J58" s="223"/>
      <c r="K58" s="223"/>
      <c r="L58" s="257" t="s">
        <v>18</v>
      </c>
      <c r="M58" s="229">
        <f t="shared" si="6"/>
        <v>0</v>
      </c>
      <c r="N58" s="229">
        <f t="shared" si="7"/>
        <v>0</v>
      </c>
      <c r="P58" s="225"/>
      <c r="U58" s="206"/>
      <c r="W58" s="206"/>
    </row>
    <row r="59" spans="2:24" s="197" customFormat="1" ht="25.5" customHeight="1">
      <c r="B59" s="524" t="s">
        <v>285</v>
      </c>
      <c r="C59" s="102">
        <v>32</v>
      </c>
      <c r="D59" s="102">
        <v>128</v>
      </c>
      <c r="E59" s="104">
        <v>1000</v>
      </c>
      <c r="F59" s="252"/>
      <c r="G59" s="253">
        <f t="shared" si="4"/>
        <v>14.722222222222221</v>
      </c>
      <c r="H59" s="254">
        <f t="shared" si="5"/>
        <v>10600</v>
      </c>
      <c r="I59" s="223"/>
      <c r="J59" s="223"/>
      <c r="K59" s="223"/>
      <c r="L59" s="255" t="s">
        <v>18</v>
      </c>
      <c r="M59" s="224">
        <f t="shared" si="6"/>
        <v>0</v>
      </c>
      <c r="N59" s="224">
        <f t="shared" si="7"/>
        <v>0</v>
      </c>
      <c r="P59" s="225"/>
      <c r="U59" s="206"/>
      <c r="W59" s="206"/>
    </row>
    <row r="60" spans="2:24" s="197" customFormat="1" ht="25.5" customHeight="1">
      <c r="B60" s="521" t="s">
        <v>20</v>
      </c>
      <c r="C60" s="91"/>
      <c r="D60" s="91"/>
      <c r="E60" s="91"/>
      <c r="F60" s="231"/>
      <c r="G60" s="232"/>
      <c r="H60" s="233"/>
      <c r="I60" s="167" t="str">
        <f>SUM(I41:I59)&amp;" st"</f>
        <v>0 st</v>
      </c>
      <c r="J60" s="167" t="str">
        <f>SUM(J41:J59)&amp;" st"</f>
        <v>0 st</v>
      </c>
      <c r="K60" s="167" t="str">
        <f>SUM(K41:K59)&amp;" st"</f>
        <v>0 st</v>
      </c>
      <c r="L60" s="168"/>
      <c r="M60" s="92">
        <f>SUM(M41:M59)</f>
        <v>0</v>
      </c>
      <c r="N60" s="93">
        <f>SUM(N41:N59)</f>
        <v>0</v>
      </c>
      <c r="P60" s="225"/>
      <c r="U60" s="206"/>
      <c r="W60" s="206"/>
    </row>
    <row r="61" spans="2:24" ht="25.5" customHeight="1">
      <c r="B61" s="526"/>
      <c r="C61" s="19"/>
      <c r="D61" s="19"/>
      <c r="E61" s="19"/>
      <c r="F61" s="258"/>
      <c r="G61" s="259"/>
      <c r="H61" s="260"/>
      <c r="I61" s="260"/>
      <c r="J61" s="260"/>
      <c r="K61" s="260"/>
      <c r="L61" s="258"/>
      <c r="M61" s="261"/>
      <c r="N61" s="261"/>
      <c r="O61" s="208"/>
      <c r="P61" s="211"/>
      <c r="Q61" s="197"/>
      <c r="U61" s="206"/>
      <c r="V61" s="206"/>
      <c r="W61" s="234"/>
    </row>
    <row r="62" spans="2:24" ht="25.5" customHeight="1">
      <c r="B62" s="526"/>
      <c r="C62" s="19"/>
      <c r="D62" s="19"/>
      <c r="E62" s="19"/>
      <c r="F62" s="258"/>
      <c r="G62" s="259"/>
      <c r="H62" s="260"/>
      <c r="I62" s="260"/>
      <c r="J62" s="260"/>
      <c r="K62" s="260"/>
      <c r="L62" s="258"/>
      <c r="M62" s="261"/>
      <c r="N62" s="261"/>
      <c r="O62" s="208"/>
      <c r="P62" s="211"/>
      <c r="Q62" s="197"/>
      <c r="U62" s="206"/>
      <c r="V62" s="206"/>
      <c r="W62" s="234"/>
    </row>
    <row r="63" spans="2:24" ht="25.5" customHeight="1">
      <c r="B63" s="527" t="s">
        <v>60</v>
      </c>
      <c r="C63" s="450"/>
      <c r="D63" s="450"/>
      <c r="E63" s="450"/>
      <c r="F63" s="450"/>
      <c r="G63" s="450"/>
      <c r="H63" s="262"/>
      <c r="I63" s="263"/>
      <c r="J63" s="263"/>
      <c r="K63" s="263"/>
      <c r="L63" s="263"/>
      <c r="M63" s="264"/>
      <c r="N63" s="264"/>
      <c r="O63" s="208"/>
      <c r="P63" s="211"/>
      <c r="U63" s="206"/>
      <c r="V63" s="206"/>
      <c r="W63" s="234"/>
    </row>
    <row r="64" spans="2:24" s="267" customFormat="1" ht="52">
      <c r="B64" s="518" t="s">
        <v>79</v>
      </c>
      <c r="C64" s="13" t="s">
        <v>70</v>
      </c>
      <c r="D64" s="13" t="s">
        <v>9</v>
      </c>
      <c r="E64" s="105" t="s">
        <v>109</v>
      </c>
      <c r="F64" s="212" t="s">
        <v>69</v>
      </c>
      <c r="G64" s="213" t="s">
        <v>11</v>
      </c>
      <c r="H64" s="213" t="s">
        <v>12</v>
      </c>
      <c r="I64" s="214" t="s">
        <v>13</v>
      </c>
      <c r="J64" s="214" t="s">
        <v>14</v>
      </c>
      <c r="K64" s="214" t="s">
        <v>15</v>
      </c>
      <c r="L64" s="215"/>
      <c r="M64" s="213" t="s">
        <v>16</v>
      </c>
      <c r="N64" s="213" t="s">
        <v>17</v>
      </c>
      <c r="O64" s="265"/>
      <c r="P64" s="266"/>
      <c r="Q64" s="265"/>
      <c r="R64" s="265"/>
      <c r="V64" s="268"/>
      <c r="W64" s="268"/>
      <c r="X64" s="269"/>
    </row>
    <row r="65" spans="2:24" s="197" customFormat="1" ht="25.5" customHeight="1">
      <c r="B65" s="524" t="s">
        <v>61</v>
      </c>
      <c r="C65" s="102">
        <v>4</v>
      </c>
      <c r="D65" s="102">
        <v>16</v>
      </c>
      <c r="E65" s="107">
        <v>250</v>
      </c>
      <c r="F65" s="252">
        <v>1</v>
      </c>
      <c r="G65" s="500">
        <f t="shared" ref="G65:G66" si="12">H65/720</f>
        <v>9.6527777777777786</v>
      </c>
      <c r="H65" s="498">
        <f>C65*IAAS_vcpu_SEK+D65*IAAS_ram_SEK+E65*IAAS_nvme_SEK+F65*IAAS_gpu_SEK</f>
        <v>6950</v>
      </c>
      <c r="I65" s="223"/>
      <c r="J65" s="223"/>
      <c r="K65" s="223"/>
      <c r="L65" s="255" t="str">
        <f>L57</f>
        <v>Instanser</v>
      </c>
      <c r="M65" s="224">
        <f t="shared" ref="M65:M66" si="13">ROUNDUP(I65*H65,2)</f>
        <v>0</v>
      </c>
      <c r="N65" s="224">
        <f>J65*C65*SW_win.ser.201X_SEK+K65*C65*SW_ms.sql.ser_SEK</f>
        <v>0</v>
      </c>
      <c r="P65" s="225"/>
      <c r="U65" s="206"/>
      <c r="W65" s="206"/>
    </row>
    <row r="66" spans="2:24" s="197" customFormat="1" ht="25.5" customHeight="1">
      <c r="B66" s="523" t="s">
        <v>62</v>
      </c>
      <c r="C66" s="100">
        <v>8</v>
      </c>
      <c r="D66" s="100">
        <v>32</v>
      </c>
      <c r="E66" s="106">
        <v>500</v>
      </c>
      <c r="F66" s="248">
        <v>2</v>
      </c>
      <c r="G66" s="499">
        <f t="shared" si="12"/>
        <v>19.305555555555557</v>
      </c>
      <c r="H66" s="497">
        <f>C66*IAAS_vcpu_SEK+D66*IAAS_ram_SEK+E66*IAAS_nvme_SEK+F66*IAAS_gpu_SEK</f>
        <v>13900</v>
      </c>
      <c r="I66" s="223"/>
      <c r="J66" s="223"/>
      <c r="K66" s="223"/>
      <c r="L66" s="251" t="s">
        <v>18</v>
      </c>
      <c r="M66" s="229">
        <f t="shared" si="13"/>
        <v>0</v>
      </c>
      <c r="N66" s="229">
        <f>J66*C66*SW_win.ser.201X_SEK+K66*C66*SW_ms.sql.ser_SEK</f>
        <v>0</v>
      </c>
      <c r="P66" s="225"/>
      <c r="U66" s="206"/>
      <c r="W66" s="206"/>
    </row>
    <row r="67" spans="2:24" s="197" customFormat="1" ht="25.5" customHeight="1">
      <c r="B67" s="524" t="s">
        <v>63</v>
      </c>
      <c r="C67" s="102">
        <v>16</v>
      </c>
      <c r="D67" s="102">
        <v>64</v>
      </c>
      <c r="E67" s="107">
        <v>1000</v>
      </c>
      <c r="F67" s="252">
        <v>4</v>
      </c>
      <c r="G67" s="500">
        <f t="shared" ref="G67:G68" si="14">H67/720</f>
        <v>38.611111111111114</v>
      </c>
      <c r="H67" s="498">
        <f>C67*IAAS_vcpu_SEK+D67*IAAS_ram_SEK+E67*IAAS_nvme_SEK+F67*IAAS_gpu_SEK</f>
        <v>27800</v>
      </c>
      <c r="I67" s="223"/>
      <c r="J67" s="223"/>
      <c r="K67" s="223"/>
      <c r="L67" s="255" t="str">
        <f>L59</f>
        <v>Instanser</v>
      </c>
      <c r="M67" s="224">
        <f t="shared" ref="M67:M68" si="15">ROUNDUP(I67*H67,2)</f>
        <v>0</v>
      </c>
      <c r="N67" s="224">
        <f>J67*C67*SW_win.ser.201X_SEK+K67*C67*SW_ms.sql.ser_SEK</f>
        <v>0</v>
      </c>
      <c r="P67" s="225"/>
      <c r="U67" s="206"/>
      <c r="W67" s="206"/>
    </row>
    <row r="68" spans="2:24" s="197" customFormat="1" ht="25.5" customHeight="1">
      <c r="B68" s="523" t="s">
        <v>64</v>
      </c>
      <c r="C68" s="100">
        <v>32</v>
      </c>
      <c r="D68" s="100">
        <v>128</v>
      </c>
      <c r="E68" s="106">
        <v>1000</v>
      </c>
      <c r="F68" s="248">
        <v>6</v>
      </c>
      <c r="G68" s="499">
        <f t="shared" si="14"/>
        <v>60.555555555555557</v>
      </c>
      <c r="H68" s="497">
        <f>C68*IAAS_vcpu_SEK+D68*IAAS_ram_SEK+E68*IAAS_nvme_SEK+F68*IAAS_gpu_SEK</f>
        <v>43600</v>
      </c>
      <c r="I68" s="223"/>
      <c r="J68" s="223"/>
      <c r="K68" s="223"/>
      <c r="L68" s="251" t="s">
        <v>18</v>
      </c>
      <c r="M68" s="229">
        <f t="shared" si="15"/>
        <v>0</v>
      </c>
      <c r="N68" s="229">
        <f>J68*C68*SW_win.ser.201X_SEK+K68*C68*SW_ms.sql.ser_SEK</f>
        <v>0</v>
      </c>
      <c r="P68" s="225"/>
      <c r="U68" s="206"/>
      <c r="W68" s="206"/>
    </row>
    <row r="69" spans="2:24" s="274" customFormat="1" ht="25.5" customHeight="1">
      <c r="B69" s="521" t="s">
        <v>20</v>
      </c>
      <c r="C69" s="91"/>
      <c r="D69" s="91"/>
      <c r="E69" s="91"/>
      <c r="F69" s="231"/>
      <c r="G69" s="232"/>
      <c r="H69" s="233"/>
      <c r="I69" s="167" t="str">
        <f>SUM(I65:I68)&amp;" st"</f>
        <v>0 st</v>
      </c>
      <c r="J69" s="167" t="str">
        <f>SUM(J65:J68)&amp;" st"</f>
        <v>0 st</v>
      </c>
      <c r="K69" s="167" t="str">
        <f>SUM(K65:K68)&amp;" st"</f>
        <v>0 st</v>
      </c>
      <c r="L69" s="168"/>
      <c r="M69" s="92">
        <f>SUM(M65:M68)</f>
        <v>0</v>
      </c>
      <c r="N69" s="93">
        <f>SUM(N65:N68)</f>
        <v>0</v>
      </c>
      <c r="O69" s="51"/>
      <c r="P69" s="270"/>
      <c r="Q69" s="271"/>
      <c r="R69" s="271"/>
      <c r="S69" s="271"/>
      <c r="T69" s="271"/>
      <c r="U69" s="272"/>
      <c r="V69" s="271"/>
      <c r="W69" s="273"/>
    </row>
    <row r="70" spans="2:24" s="197" customFormat="1" ht="25.5" customHeight="1">
      <c r="B70" s="522"/>
      <c r="C70" s="22"/>
      <c r="D70" s="22"/>
      <c r="E70" s="21"/>
      <c r="F70" s="275"/>
      <c r="G70" s="275"/>
      <c r="H70" s="207"/>
      <c r="I70" s="207"/>
      <c r="J70" s="207"/>
      <c r="K70" s="276"/>
      <c r="L70" s="207"/>
      <c r="M70" s="277"/>
      <c r="N70" s="277"/>
      <c r="P70" s="225"/>
      <c r="U70" s="206"/>
      <c r="W70" s="206"/>
    </row>
    <row r="71" spans="2:24" s="197" customFormat="1" ht="25.5" customHeight="1">
      <c r="B71" s="522"/>
      <c r="C71" s="22"/>
      <c r="D71" s="22"/>
      <c r="E71" s="21"/>
      <c r="F71" s="275"/>
      <c r="G71" s="275"/>
      <c r="H71" s="207"/>
      <c r="I71" s="207"/>
      <c r="J71" s="207"/>
      <c r="K71" s="276"/>
      <c r="L71" s="207"/>
      <c r="M71" s="277"/>
      <c r="N71" s="277"/>
      <c r="P71" s="225"/>
      <c r="U71" s="206"/>
      <c r="W71" s="206"/>
    </row>
    <row r="72" spans="2:24" s="243" customFormat="1" ht="31">
      <c r="B72" s="479" t="s">
        <v>65</v>
      </c>
      <c r="C72" s="24"/>
      <c r="D72" s="24"/>
      <c r="E72" s="24"/>
      <c r="F72" s="278"/>
      <c r="G72" s="278"/>
      <c r="H72" s="207"/>
      <c r="I72" s="207"/>
      <c r="J72" s="207"/>
      <c r="K72" s="276"/>
      <c r="L72" s="207"/>
      <c r="M72" s="277"/>
      <c r="N72" s="277"/>
      <c r="P72" s="244"/>
      <c r="Q72" s="207"/>
      <c r="R72" s="207"/>
      <c r="S72" s="207"/>
      <c r="T72" s="207"/>
      <c r="U72" s="245"/>
      <c r="V72" s="207"/>
      <c r="W72" s="246"/>
    </row>
    <row r="73" spans="2:24" s="267" customFormat="1" ht="47">
      <c r="B73" s="518" t="s">
        <v>79</v>
      </c>
      <c r="C73" s="13" t="s">
        <v>70</v>
      </c>
      <c r="D73" s="13" t="s">
        <v>9</v>
      </c>
      <c r="E73" s="14" t="s">
        <v>109</v>
      </c>
      <c r="F73" s="279"/>
      <c r="G73" s="213" t="s">
        <v>11</v>
      </c>
      <c r="H73" s="213" t="s">
        <v>12</v>
      </c>
      <c r="I73" s="280" t="s">
        <v>13</v>
      </c>
      <c r="J73" s="280" t="s">
        <v>14</v>
      </c>
      <c r="K73" s="280" t="s">
        <v>15</v>
      </c>
      <c r="L73" s="215"/>
      <c r="M73" s="213" t="s">
        <v>16</v>
      </c>
      <c r="N73" s="213" t="s">
        <v>17</v>
      </c>
      <c r="O73" s="265"/>
      <c r="P73" s="266"/>
      <c r="Q73" s="265"/>
      <c r="R73" s="265"/>
      <c r="V73" s="268"/>
      <c r="W73" s="268"/>
      <c r="X73" s="269"/>
    </row>
    <row r="74" spans="2:24" s="197" customFormat="1" ht="25.5" customHeight="1">
      <c r="B74" s="146" t="s">
        <v>66</v>
      </c>
      <c r="C74" s="94">
        <v>16</v>
      </c>
      <c r="D74" s="94">
        <v>128</v>
      </c>
      <c r="E74" s="99">
        <v>3800</v>
      </c>
      <c r="F74" s="281"/>
      <c r="G74" s="253">
        <f t="shared" ref="G74:G76" si="16">H74/720</f>
        <v>9.5</v>
      </c>
      <c r="H74" s="254">
        <f>INSTANCE_p1.2xlarge.16d_SEK</f>
        <v>6840</v>
      </c>
      <c r="I74" s="223"/>
      <c r="J74" s="223"/>
      <c r="K74" s="223"/>
      <c r="L74" s="220" t="s">
        <v>18</v>
      </c>
      <c r="M74" s="224">
        <f t="shared" ref="M74:M75" si="17">ROUNDUP(I74*H74,2)</f>
        <v>0</v>
      </c>
      <c r="N74" s="224">
        <f>J74*C74*SW_win.ser.201X_SEK+K74*C74*SW_ms.sql.ser_SEK</f>
        <v>0</v>
      </c>
      <c r="O74" s="207"/>
      <c r="P74" s="225"/>
    </row>
    <row r="75" spans="2:24" s="197" customFormat="1" ht="25.5" customHeight="1">
      <c r="B75" s="528" t="s">
        <v>67</v>
      </c>
      <c r="C75" s="95">
        <v>32</v>
      </c>
      <c r="D75" s="95">
        <v>256</v>
      </c>
      <c r="E75" s="97">
        <v>3800</v>
      </c>
      <c r="F75" s="282"/>
      <c r="G75" s="249">
        <f t="shared" si="16"/>
        <v>19</v>
      </c>
      <c r="H75" s="250">
        <f>INSTANCE_p1.4xlarge.16d_SEK</f>
        <v>13680</v>
      </c>
      <c r="I75" s="223"/>
      <c r="J75" s="223"/>
      <c r="K75" s="223"/>
      <c r="L75" s="226" t="str">
        <f t="shared" ref="L75" si="18">L74</f>
        <v>Instanser</v>
      </c>
      <c r="M75" s="229">
        <f t="shared" si="17"/>
        <v>0</v>
      </c>
      <c r="N75" s="229">
        <f>J75*C75*SW_win.ser.201X_SEK+K75*C75*SW_ms.sql.ser_SEK</f>
        <v>0</v>
      </c>
      <c r="O75" s="207"/>
      <c r="P75" s="225"/>
      <c r="X75" s="206"/>
    </row>
    <row r="76" spans="2:24" s="271" customFormat="1" ht="25.5" customHeight="1">
      <c r="B76" s="529" t="s">
        <v>68</v>
      </c>
      <c r="C76" s="96">
        <v>64</v>
      </c>
      <c r="D76" s="96">
        <v>512</v>
      </c>
      <c r="E76" s="98">
        <v>7600</v>
      </c>
      <c r="F76" s="283"/>
      <c r="G76" s="284">
        <f t="shared" si="16"/>
        <v>38</v>
      </c>
      <c r="H76" s="285">
        <f>INSTANCE_p1.8xlarge.32d_SEK</f>
        <v>27360</v>
      </c>
      <c r="I76" s="223"/>
      <c r="J76" s="223"/>
      <c r="K76" s="223"/>
      <c r="L76" s="220" t="s">
        <v>18</v>
      </c>
      <c r="M76" s="224">
        <f t="shared" ref="M76" si="19">ROUNDUP(I76*H76,2)</f>
        <v>0</v>
      </c>
      <c r="N76" s="224">
        <f>J76*C76*SW_win.ser.201X_SEK+K76*C76*SW_ms.sql.ser_SEK</f>
        <v>0</v>
      </c>
      <c r="O76" s="286"/>
      <c r="P76" s="287"/>
    </row>
    <row r="77" spans="2:24" ht="25.5" customHeight="1">
      <c r="B77" s="522" t="s">
        <v>20</v>
      </c>
      <c r="C77" s="21"/>
      <c r="D77" s="21"/>
      <c r="E77" s="21"/>
      <c r="F77" s="271"/>
      <c r="G77" s="271"/>
      <c r="H77" s="271"/>
      <c r="I77" s="167" t="str">
        <f>SUM(I74:I76)&amp;" st"</f>
        <v>0 st</v>
      </c>
      <c r="J77" s="167" t="str">
        <f>SUM(J74:J76)&amp;" st"</f>
        <v>0 st</v>
      </c>
      <c r="K77" s="167" t="str">
        <f>SUM(K74:K76)&amp;" st"</f>
        <v>0 st</v>
      </c>
      <c r="L77" s="168"/>
      <c r="M77" s="92">
        <f>SUM(M74:M76)</f>
        <v>0</v>
      </c>
      <c r="N77" s="93">
        <f>SUM(N74:N76)</f>
        <v>0</v>
      </c>
      <c r="O77" s="208"/>
      <c r="P77" s="211"/>
    </row>
    <row r="78" spans="2:24" ht="25.5" customHeight="1">
      <c r="B78" s="530"/>
      <c r="C78" s="80"/>
      <c r="D78" s="80"/>
      <c r="E78" s="80"/>
      <c r="F78" s="288"/>
      <c r="G78" s="288"/>
      <c r="H78" s="271"/>
      <c r="I78" s="289"/>
      <c r="J78" s="289"/>
      <c r="K78" s="289"/>
      <c r="L78" s="238"/>
      <c r="M78" s="50"/>
      <c r="N78" s="51"/>
      <c r="O78" s="208"/>
      <c r="P78" s="211"/>
    </row>
    <row r="79" spans="2:24" s="197" customFormat="1" ht="25.5" customHeight="1">
      <c r="B79" s="531"/>
      <c r="C79" s="22"/>
      <c r="D79" s="22"/>
      <c r="E79" s="22"/>
      <c r="F79" s="275"/>
      <c r="G79" s="275"/>
      <c r="H79" s="207"/>
      <c r="I79" s="207"/>
      <c r="J79" s="207"/>
      <c r="K79" s="276"/>
      <c r="L79" s="207"/>
      <c r="M79" s="277"/>
      <c r="N79" s="277"/>
      <c r="P79" s="225"/>
      <c r="U79" s="206"/>
      <c r="W79" s="206"/>
    </row>
    <row r="80" spans="2:24" ht="25.5" customHeight="1">
      <c r="B80" s="479" t="s">
        <v>21</v>
      </c>
      <c r="C80" s="24"/>
      <c r="D80" s="24"/>
      <c r="E80" s="24"/>
      <c r="F80" s="278"/>
      <c r="G80" s="278"/>
      <c r="H80" s="207"/>
      <c r="I80" s="207"/>
      <c r="J80" s="207"/>
      <c r="K80" s="276"/>
      <c r="L80" s="207"/>
      <c r="M80" s="277"/>
      <c r="N80" s="277"/>
      <c r="O80" s="208"/>
      <c r="P80" s="211"/>
      <c r="Q80" s="197"/>
      <c r="R80" s="197"/>
      <c r="S80" s="197"/>
      <c r="T80" s="197"/>
      <c r="U80" s="206"/>
      <c r="V80" s="197"/>
      <c r="W80" s="234"/>
    </row>
    <row r="81" spans="2:25" s="295" customFormat="1" ht="35.25" customHeight="1">
      <c r="B81" s="518" t="s">
        <v>79</v>
      </c>
      <c r="C81" s="26" t="s">
        <v>185</v>
      </c>
      <c r="D81" s="26"/>
      <c r="E81" s="144" t="s">
        <v>11</v>
      </c>
      <c r="F81" s="572" t="s">
        <v>23</v>
      </c>
      <c r="G81" s="572"/>
      <c r="H81" s="573"/>
      <c r="I81" s="573"/>
      <c r="J81" s="292" t="s">
        <v>24</v>
      </c>
      <c r="K81" s="290"/>
      <c r="L81" s="290"/>
      <c r="M81" s="290"/>
      <c r="N81" s="293"/>
      <c r="O81" s="219"/>
      <c r="P81" s="294"/>
      <c r="R81" s="219"/>
      <c r="S81" s="219"/>
      <c r="W81" s="296"/>
      <c r="X81" s="296"/>
      <c r="Y81" s="297"/>
    </row>
    <row r="82" spans="2:25" s="197" customFormat="1" ht="25.5" customHeight="1">
      <c r="B82" s="146" t="s">
        <v>181</v>
      </c>
      <c r="C82" s="41" t="s">
        <v>182</v>
      </c>
      <c r="D82" s="82"/>
      <c r="E82" s="84">
        <f>F82/720</f>
        <v>1.6666666666666666E-3</v>
      </c>
      <c r="F82" s="623">
        <f>VOLUME_large_SEK</f>
        <v>1.2</v>
      </c>
      <c r="G82" s="623"/>
      <c r="H82" s="568"/>
      <c r="I82" s="568"/>
      <c r="J82" s="298"/>
      <c r="K82" s="555" t="s">
        <v>26</v>
      </c>
      <c r="L82" s="299"/>
      <c r="M82" s="300"/>
      <c r="N82" s="301">
        <f>ROUNDUP(J82*F82,2)</f>
        <v>0</v>
      </c>
      <c r="O82" s="207"/>
      <c r="P82" s="225"/>
    </row>
    <row r="83" spans="2:25" s="197" customFormat="1" ht="25.5" customHeight="1">
      <c r="B83" s="528" t="s">
        <v>180</v>
      </c>
      <c r="C83" s="43" t="s">
        <v>183</v>
      </c>
      <c r="D83" s="83"/>
      <c r="E83" s="85">
        <f>F83/720</f>
        <v>5.0000000000000001E-3</v>
      </c>
      <c r="F83" s="624">
        <f>VOLUME_fast_SEK</f>
        <v>3.6</v>
      </c>
      <c r="G83" s="624"/>
      <c r="H83" s="577"/>
      <c r="I83" s="577"/>
      <c r="J83" s="302"/>
      <c r="K83" s="556" t="s">
        <v>26</v>
      </c>
      <c r="L83" s="303"/>
      <c r="M83" s="304"/>
      <c r="N83" s="305">
        <f>ROUNDUP(J83*F83,2)</f>
        <v>0</v>
      </c>
      <c r="O83" s="207"/>
      <c r="P83" s="225"/>
      <c r="Y83" s="206"/>
    </row>
    <row r="84" spans="2:25" ht="25.5" customHeight="1">
      <c r="B84" s="521" t="s">
        <v>304</v>
      </c>
      <c r="C84" s="91"/>
      <c r="D84" s="91"/>
      <c r="E84" s="91"/>
      <c r="F84" s="232"/>
      <c r="G84" s="233"/>
      <c r="H84" s="233"/>
      <c r="I84" s="306"/>
      <c r="J84" s="307" t="str">
        <f>SUM(J82:J83)&amp;" GB"</f>
        <v>0 GB</v>
      </c>
      <c r="K84" s="308"/>
      <c r="L84" s="233"/>
      <c r="M84" s="233"/>
      <c r="N84" s="93">
        <f>SUM(N82:N83)</f>
        <v>0</v>
      </c>
      <c r="O84" s="208"/>
      <c r="P84" s="211"/>
    </row>
    <row r="85" spans="2:25" ht="25.5" customHeight="1">
      <c r="B85" s="79"/>
      <c r="C85" s="80"/>
      <c r="D85" s="80"/>
      <c r="E85" s="80"/>
      <c r="F85" s="288"/>
      <c r="G85" s="288"/>
      <c r="H85" s="309"/>
      <c r="I85" s="309"/>
      <c r="J85" s="309"/>
      <c r="K85" s="310"/>
      <c r="L85" s="311"/>
      <c r="M85" s="312"/>
      <c r="N85" s="312"/>
      <c r="O85" s="208"/>
      <c r="P85" s="211"/>
    </row>
    <row r="86" spans="2:25" ht="25.5" customHeight="1">
      <c r="B86" s="79"/>
      <c r="C86" s="80"/>
      <c r="D86" s="80"/>
      <c r="E86" s="80"/>
      <c r="F86" s="288"/>
      <c r="G86" s="288"/>
      <c r="H86" s="309"/>
      <c r="I86" s="309"/>
      <c r="J86" s="309"/>
      <c r="K86" s="310"/>
      <c r="L86" s="311"/>
      <c r="M86" s="312"/>
      <c r="N86" s="312"/>
      <c r="O86" s="208"/>
      <c r="P86" s="211"/>
    </row>
    <row r="87" spans="2:25" s="192" customFormat="1" ht="25.5" customHeight="1">
      <c r="B87" s="79"/>
      <c r="C87" s="80"/>
      <c r="D87" s="80"/>
      <c r="E87" s="80"/>
      <c r="F87" s="288"/>
      <c r="G87" s="288"/>
      <c r="H87" s="309"/>
      <c r="I87" s="309"/>
      <c r="J87" s="309"/>
      <c r="K87" s="310"/>
      <c r="L87" s="311"/>
      <c r="M87" s="312"/>
      <c r="N87" s="312"/>
      <c r="P87" s="196"/>
    </row>
    <row r="88" spans="2:25" s="192" customFormat="1" ht="25.5" customHeight="1">
      <c r="B88" s="570" t="s">
        <v>27</v>
      </c>
      <c r="C88" s="570"/>
      <c r="D88" s="570"/>
      <c r="E88" s="570"/>
      <c r="F88" s="570"/>
      <c r="G88" s="570"/>
      <c r="H88" s="193"/>
      <c r="J88" s="194"/>
      <c r="K88" s="194"/>
      <c r="M88" s="195"/>
      <c r="N88" s="195"/>
      <c r="P88" s="196"/>
    </row>
    <row r="89" spans="2:25" s="192" customFormat="1" ht="25.5" customHeight="1">
      <c r="B89" s="570"/>
      <c r="C89" s="570"/>
      <c r="D89" s="570"/>
      <c r="E89" s="570"/>
      <c r="F89" s="570"/>
      <c r="G89" s="570"/>
      <c r="H89" s="193"/>
      <c r="J89" s="194"/>
      <c r="K89" s="194"/>
      <c r="M89" s="195"/>
      <c r="N89" s="195"/>
      <c r="P89" s="196"/>
    </row>
    <row r="90" spans="2:25" s="192" customFormat="1" ht="25.5" customHeight="1">
      <c r="B90" s="570"/>
      <c r="C90" s="570"/>
      <c r="D90" s="570"/>
      <c r="E90" s="570"/>
      <c r="F90" s="570"/>
      <c r="G90" s="570"/>
      <c r="H90" s="193"/>
      <c r="J90" s="194"/>
      <c r="K90" s="194"/>
      <c r="M90" s="195"/>
      <c r="N90" s="195"/>
      <c r="P90" s="196"/>
    </row>
    <row r="91" spans="2:25" s="192" customFormat="1" ht="25.5" customHeight="1">
      <c r="B91" s="578" t="s">
        <v>195</v>
      </c>
      <c r="C91" s="578"/>
      <c r="D91" s="578"/>
      <c r="E91" s="578"/>
      <c r="F91" s="578"/>
      <c r="H91" s="193"/>
      <c r="J91" s="194"/>
      <c r="K91" s="194"/>
      <c r="M91" s="195"/>
      <c r="N91" s="195"/>
      <c r="O91" s="199"/>
      <c r="P91" s="204"/>
    </row>
    <row r="92" spans="2:25" s="319" customFormat="1" ht="25.5" customHeight="1">
      <c r="B92" s="579" t="s">
        <v>110</v>
      </c>
      <c r="C92" s="579"/>
      <c r="D92" s="579"/>
      <c r="E92" s="579"/>
      <c r="F92" s="579"/>
      <c r="G92" s="313"/>
      <c r="H92" s="314"/>
      <c r="I92" s="313"/>
      <c r="J92" s="315"/>
      <c r="K92" s="316"/>
      <c r="L92" s="313"/>
      <c r="M92" s="317"/>
      <c r="N92" s="317"/>
      <c r="O92" s="313"/>
      <c r="P92" s="318"/>
    </row>
    <row r="93" spans="2:25" s="192" customFormat="1" ht="25.5" customHeight="1">
      <c r="B93" s="8" t="s">
        <v>6</v>
      </c>
      <c r="C93" s="78"/>
      <c r="D93" s="78"/>
      <c r="E93" s="78"/>
      <c r="F93" s="205"/>
      <c r="G93" s="199"/>
      <c r="H93" s="200"/>
      <c r="I93" s="199"/>
      <c r="J93" s="201"/>
      <c r="K93" s="202"/>
      <c r="L93" s="202"/>
      <c r="M93" s="199"/>
      <c r="N93" s="203"/>
      <c r="O93" s="203"/>
      <c r="P93" s="225"/>
      <c r="R93" s="197"/>
      <c r="S93" s="197"/>
    </row>
    <row r="94" spans="2:25" s="192" customFormat="1" ht="25.5" customHeight="1">
      <c r="B94" s="6"/>
      <c r="C94" s="6"/>
      <c r="D94" s="6"/>
      <c r="E94" s="6"/>
      <c r="F94" s="205"/>
      <c r="G94" s="199"/>
      <c r="H94" s="200"/>
      <c r="I94" s="199"/>
      <c r="J94" s="201"/>
      <c r="K94" s="202"/>
      <c r="L94" s="202"/>
      <c r="M94" s="199"/>
      <c r="N94" s="203"/>
      <c r="O94" s="203"/>
      <c r="P94" s="225"/>
      <c r="R94" s="197"/>
      <c r="S94" s="197"/>
    </row>
    <row r="95" spans="2:25" s="192" customFormat="1" ht="25.5" customHeight="1">
      <c r="B95" s="518" t="s">
        <v>79</v>
      </c>
      <c r="C95" s="12" t="s">
        <v>72</v>
      </c>
      <c r="D95" s="572" t="s">
        <v>71</v>
      </c>
      <c r="E95" s="572"/>
      <c r="F95" s="572"/>
      <c r="G95" s="572"/>
      <c r="H95" s="572"/>
      <c r="I95" s="572"/>
      <c r="J95" s="572"/>
      <c r="K95" s="572"/>
      <c r="L95" s="293"/>
      <c r="M95" s="290"/>
      <c r="N95" s="290"/>
      <c r="O95" s="203"/>
      <c r="P95" s="225"/>
      <c r="R95" s="197"/>
      <c r="S95" s="197"/>
    </row>
    <row r="96" spans="2:25" s="192" customFormat="1" ht="25.5" customHeight="1">
      <c r="B96" s="519" t="s">
        <v>75</v>
      </c>
      <c r="C96" s="46" t="s">
        <v>97</v>
      </c>
      <c r="D96" s="575">
        <f>S3_storage.50_SEK</f>
        <v>350</v>
      </c>
      <c r="E96" s="575"/>
      <c r="F96" s="575"/>
      <c r="G96" s="575"/>
      <c r="H96" s="575"/>
      <c r="I96" s="575"/>
      <c r="J96" s="575"/>
      <c r="K96" s="575"/>
      <c r="L96" s="320"/>
      <c r="M96" s="321"/>
      <c r="N96" s="321"/>
      <c r="O96" s="203"/>
      <c r="P96" s="225"/>
      <c r="R96" s="197"/>
      <c r="S96" s="197"/>
    </row>
    <row r="97" spans="2:24" s="192" customFormat="1" ht="25.5" customHeight="1">
      <c r="B97" s="520" t="s">
        <v>75</v>
      </c>
      <c r="C97" s="48" t="s">
        <v>117</v>
      </c>
      <c r="D97" s="583">
        <f>S3_storage.100_SEK</f>
        <v>270</v>
      </c>
      <c r="E97" s="583"/>
      <c r="F97" s="583"/>
      <c r="G97" s="583"/>
      <c r="H97" s="583"/>
      <c r="I97" s="583"/>
      <c r="J97" s="583"/>
      <c r="K97" s="583"/>
      <c r="L97" s="322"/>
      <c r="M97" s="323"/>
      <c r="N97" s="323"/>
      <c r="O97" s="203"/>
      <c r="P97" s="225"/>
      <c r="R97" s="197"/>
      <c r="S97" s="197"/>
    </row>
    <row r="98" spans="2:24" s="192" customFormat="1" ht="25.5" customHeight="1">
      <c r="B98" s="519" t="s">
        <v>75</v>
      </c>
      <c r="C98" s="46" t="s">
        <v>118</v>
      </c>
      <c r="D98" s="581">
        <f>S3_storage.500_SEK</f>
        <v>200</v>
      </c>
      <c r="E98" s="581"/>
      <c r="F98" s="581"/>
      <c r="G98" s="581"/>
      <c r="H98" s="581"/>
      <c r="I98" s="581"/>
      <c r="J98" s="581"/>
      <c r="K98" s="581"/>
      <c r="L98" s="324"/>
      <c r="M98" s="325"/>
      <c r="N98" s="325"/>
      <c r="O98" s="203"/>
      <c r="P98" s="225"/>
      <c r="R98" s="197"/>
      <c r="S98" s="197"/>
    </row>
    <row r="99" spans="2:24" s="192" customFormat="1" ht="25.5" customHeight="1">
      <c r="B99" s="520" t="s">
        <v>75</v>
      </c>
      <c r="C99" s="48" t="s">
        <v>119</v>
      </c>
      <c r="D99" s="583">
        <f>S3_storage.1000_SEK</f>
        <v>185</v>
      </c>
      <c r="E99" s="583"/>
      <c r="F99" s="583"/>
      <c r="G99" s="583"/>
      <c r="H99" s="583"/>
      <c r="I99" s="583"/>
      <c r="J99" s="583"/>
      <c r="K99" s="583"/>
      <c r="L99" s="322"/>
      <c r="M99" s="323"/>
      <c r="N99" s="323"/>
      <c r="O99" s="203"/>
      <c r="P99" s="225"/>
      <c r="R99" s="197"/>
      <c r="S99" s="197"/>
    </row>
    <row r="100" spans="2:24" s="192" customFormat="1" ht="25.5" customHeight="1">
      <c r="B100" s="519" t="s">
        <v>75</v>
      </c>
      <c r="C100" s="46" t="s">
        <v>120</v>
      </c>
      <c r="D100" s="584" t="str">
        <f>S3_storage.quote_SEK</f>
        <v>Be om offert</v>
      </c>
      <c r="E100" s="584"/>
      <c r="F100" s="584"/>
      <c r="G100" s="584"/>
      <c r="H100" s="584"/>
      <c r="I100" s="584"/>
      <c r="J100" s="584"/>
      <c r="K100" s="584"/>
      <c r="L100" s="326"/>
      <c r="M100" s="327"/>
      <c r="N100" s="327"/>
      <c r="O100" s="203"/>
      <c r="P100" s="225"/>
      <c r="R100" s="197"/>
      <c r="S100" s="197"/>
    </row>
    <row r="101" spans="2:24" s="192" customFormat="1" ht="25.5" customHeight="1">
      <c r="B101" s="546"/>
      <c r="C101" s="108"/>
      <c r="D101" s="108"/>
      <c r="E101" s="108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25"/>
      <c r="R101" s="197"/>
      <c r="S101" s="197"/>
    </row>
    <row r="102" spans="2:24" s="267" customFormat="1" ht="25.5" customHeight="1">
      <c r="B102" s="547"/>
      <c r="C102" s="145"/>
      <c r="D102" s="145"/>
      <c r="E102" s="145"/>
      <c r="F102" s="205"/>
      <c r="G102" s="199"/>
      <c r="H102" s="200"/>
      <c r="I102" s="199"/>
      <c r="J102" s="201"/>
      <c r="K102" s="202"/>
      <c r="L102" s="202"/>
      <c r="M102" s="199"/>
      <c r="N102" s="203"/>
      <c r="O102" s="203"/>
      <c r="P102" s="328"/>
      <c r="R102" s="295"/>
      <c r="S102" s="295"/>
      <c r="T102" s="295"/>
      <c r="U102" s="295"/>
      <c r="V102" s="295"/>
      <c r="W102" s="295"/>
      <c r="X102" s="295"/>
    </row>
    <row r="103" spans="2:24" ht="25.5" customHeight="1">
      <c r="B103" s="518" t="s">
        <v>79</v>
      </c>
      <c r="C103" s="26"/>
      <c r="D103" s="26"/>
      <c r="E103" s="143" t="s">
        <v>11</v>
      </c>
      <c r="F103" s="572" t="s">
        <v>71</v>
      </c>
      <c r="G103" s="572"/>
      <c r="H103" s="292" t="s">
        <v>72</v>
      </c>
      <c r="I103" s="290"/>
      <c r="J103" s="290"/>
      <c r="K103" s="290"/>
      <c r="L103" s="290"/>
      <c r="M103" s="290"/>
      <c r="N103" s="293" t="s">
        <v>31</v>
      </c>
      <c r="O103" s="329"/>
      <c r="P103" s="225"/>
      <c r="R103" s="197"/>
      <c r="S103" s="197"/>
    </row>
    <row r="104" spans="2:24" s="274" customFormat="1" ht="25.5" customHeight="1">
      <c r="B104" s="548" t="s">
        <v>75</v>
      </c>
      <c r="C104" s="86"/>
      <c r="D104" s="86"/>
      <c r="E104" s="27" cm="1">
        <f t="array" ref="E104">_xlfn.IFS(H104&lt;1001,F104/720,H104&gt;1000,D100)</f>
        <v>0.4861111111111111</v>
      </c>
      <c r="F104" s="620" cm="1">
        <f t="array" ref="F104">_xlfn.IFS(H104&lt;51,D96,H104&lt;101,D97,H104&lt;501,D98,H104&lt;1001,D99,H104&gt;1000,D100)</f>
        <v>350</v>
      </c>
      <c r="G104" s="621"/>
      <c r="H104" s="330"/>
      <c r="I104" s="557" t="s">
        <v>73</v>
      </c>
      <c r="J104" s="332"/>
      <c r="K104" s="332"/>
      <c r="L104" s="332"/>
      <c r="M104" s="333"/>
      <c r="N104" s="510" cm="1">
        <f t="array" ref="N104">_xlfn.IFS(H104&lt;1001,ROUNDUP(H104*F104,2),H104&gt;1000,D100)</f>
        <v>0</v>
      </c>
      <c r="O104" s="329"/>
      <c r="P104" s="287"/>
      <c r="R104" s="271"/>
      <c r="S104" s="271"/>
    </row>
    <row r="105" spans="2:24" ht="25.5" customHeight="1">
      <c r="B105" s="20" t="s">
        <v>20</v>
      </c>
      <c r="C105" s="21"/>
      <c r="D105" s="21"/>
      <c r="E105" s="21"/>
      <c r="F105" s="236"/>
      <c r="G105" s="237"/>
      <c r="H105" s="237"/>
      <c r="I105" s="237"/>
      <c r="J105" s="237"/>
      <c r="K105" s="335"/>
      <c r="L105" s="335"/>
      <c r="M105" s="173"/>
      <c r="N105" s="93">
        <f>SUM(N104)</f>
        <v>0</v>
      </c>
      <c r="O105" s="329"/>
      <c r="P105" s="225"/>
      <c r="R105" s="197"/>
      <c r="S105" s="197"/>
    </row>
    <row r="106" spans="2:24" ht="25.5" customHeight="1">
      <c r="B106" s="28"/>
      <c r="C106" s="28"/>
      <c r="D106" s="28"/>
      <c r="E106" s="28"/>
      <c r="F106" s="337"/>
      <c r="G106" s="338"/>
      <c r="H106" s="309"/>
      <c r="I106" s="309"/>
      <c r="J106" s="309"/>
      <c r="K106" s="339"/>
      <c r="L106" s="339"/>
      <c r="M106" s="312"/>
      <c r="N106" s="312"/>
      <c r="O106" s="329"/>
      <c r="P106" s="225"/>
      <c r="R106" s="197"/>
      <c r="S106" s="197"/>
    </row>
    <row r="107" spans="2:24" ht="25.5" customHeight="1">
      <c r="B107" s="28"/>
      <c r="C107" s="28"/>
      <c r="D107" s="28"/>
      <c r="E107" s="28"/>
      <c r="F107" s="337"/>
      <c r="G107" s="338"/>
      <c r="H107" s="309"/>
      <c r="I107" s="309"/>
      <c r="J107" s="309"/>
      <c r="K107" s="339"/>
      <c r="L107" s="339"/>
      <c r="M107" s="312"/>
      <c r="N107" s="312"/>
      <c r="O107" s="312"/>
      <c r="P107" s="225"/>
      <c r="R107" s="197"/>
      <c r="S107" s="197"/>
      <c r="V107" s="192"/>
    </row>
    <row r="108" spans="2:24" s="192" customFormat="1" ht="25.5" customHeight="1">
      <c r="B108" s="28"/>
      <c r="C108" s="28"/>
      <c r="D108" s="28"/>
      <c r="E108" s="28"/>
      <c r="F108" s="337"/>
      <c r="G108" s="338"/>
      <c r="H108" s="309"/>
      <c r="I108" s="309"/>
      <c r="J108" s="309"/>
      <c r="K108" s="339"/>
      <c r="L108" s="339"/>
      <c r="M108" s="312"/>
      <c r="N108" s="312"/>
      <c r="O108" s="312"/>
      <c r="P108" s="196"/>
    </row>
    <row r="109" spans="2:24" s="192" customFormat="1" ht="25.5" customHeight="1">
      <c r="B109" s="570" t="s">
        <v>32</v>
      </c>
      <c r="C109" s="570"/>
      <c r="D109" s="570"/>
      <c r="E109" s="570"/>
      <c r="F109" s="570"/>
      <c r="G109" s="570"/>
      <c r="H109" s="193"/>
      <c r="J109" s="194"/>
      <c r="K109" s="194"/>
      <c r="L109" s="194"/>
      <c r="N109" s="195"/>
      <c r="O109" s="195"/>
      <c r="P109" s="196"/>
    </row>
    <row r="110" spans="2:24" s="192" customFormat="1" ht="25.5" customHeight="1">
      <c r="B110" s="570"/>
      <c r="C110" s="570"/>
      <c r="D110" s="570"/>
      <c r="E110" s="570"/>
      <c r="F110" s="570"/>
      <c r="G110" s="570"/>
      <c r="H110" s="193"/>
      <c r="J110" s="194"/>
      <c r="K110" s="194"/>
      <c r="L110" s="194"/>
      <c r="N110" s="195"/>
      <c r="O110" s="195"/>
      <c r="P110" s="196"/>
    </row>
    <row r="111" spans="2:24" s="192" customFormat="1" ht="25.5" customHeight="1">
      <c r="B111" s="570"/>
      <c r="C111" s="570"/>
      <c r="D111" s="570"/>
      <c r="E111" s="570"/>
      <c r="F111" s="570"/>
      <c r="G111" s="570"/>
      <c r="H111" s="193"/>
      <c r="J111" s="194"/>
      <c r="K111" s="194"/>
      <c r="L111" s="194"/>
      <c r="N111" s="195"/>
      <c r="O111" s="195"/>
      <c r="P111" s="196"/>
    </row>
    <row r="112" spans="2:24" s="192" customFormat="1" ht="25.5" customHeight="1">
      <c r="B112" s="587" t="s">
        <v>300</v>
      </c>
      <c r="C112" s="587"/>
      <c r="D112" s="587"/>
      <c r="E112" s="587"/>
      <c r="F112" s="587"/>
      <c r="H112" s="193"/>
      <c r="J112" s="194"/>
      <c r="K112" s="194"/>
      <c r="L112" s="194"/>
      <c r="N112" s="195"/>
      <c r="O112" s="195"/>
      <c r="P112" s="204"/>
    </row>
    <row r="113" spans="1:35" s="192" customFormat="1" ht="25.5" customHeight="1">
      <c r="B113" s="589" t="s">
        <v>28</v>
      </c>
      <c r="C113" s="589"/>
      <c r="D113" s="589"/>
      <c r="E113" s="589"/>
      <c r="F113" s="589"/>
      <c r="G113" s="199"/>
      <c r="H113" s="200"/>
      <c r="I113" s="199"/>
      <c r="J113" s="201"/>
      <c r="K113" s="202"/>
      <c r="L113" s="202"/>
      <c r="M113" s="199"/>
      <c r="N113" s="203"/>
      <c r="O113" s="203"/>
      <c r="P113" s="204"/>
    </row>
    <row r="114" spans="1:35" s="207" customFormat="1" ht="25.5" customHeight="1">
      <c r="B114" s="8" t="s">
        <v>33</v>
      </c>
      <c r="C114" s="78"/>
      <c r="D114" s="78"/>
      <c r="E114" s="78"/>
      <c r="F114" s="205"/>
      <c r="G114" s="199"/>
      <c r="H114" s="200"/>
      <c r="I114" s="199"/>
      <c r="J114" s="201"/>
      <c r="K114" s="202"/>
      <c r="L114" s="202"/>
      <c r="M114" s="192"/>
      <c r="N114" s="203"/>
      <c r="O114" s="203"/>
      <c r="P114" s="225"/>
      <c r="R114" s="197"/>
      <c r="S114" s="197"/>
      <c r="T114" s="197"/>
      <c r="U114" s="197"/>
      <c r="V114" s="197"/>
      <c r="W114" s="197"/>
      <c r="X114" s="197"/>
      <c r="AA114" s="208"/>
      <c r="AB114" s="208"/>
      <c r="AC114" s="208"/>
    </row>
    <row r="115" spans="1:35" s="267" customFormat="1" ht="25.5" customHeight="1">
      <c r="A115" s="340"/>
      <c r="B115" s="29"/>
      <c r="C115" s="9"/>
      <c r="D115" s="9"/>
      <c r="E115" s="9"/>
      <c r="F115" s="207"/>
      <c r="G115" s="207"/>
      <c r="H115" s="207"/>
      <c r="I115" s="207"/>
      <c r="J115" s="207"/>
      <c r="K115" s="207"/>
      <c r="L115" s="207"/>
      <c r="M115" s="173"/>
      <c r="N115" s="277"/>
      <c r="O115" s="277"/>
      <c r="P115" s="328"/>
      <c r="S115" s="295"/>
      <c r="T115" s="295"/>
      <c r="U115" s="295"/>
      <c r="V115" s="295"/>
      <c r="W115" s="295"/>
      <c r="X115" s="295"/>
    </row>
    <row r="116" spans="1:35" ht="25">
      <c r="A116" s="341"/>
      <c r="B116" s="518" t="s">
        <v>79</v>
      </c>
      <c r="C116" s="572" t="s">
        <v>34</v>
      </c>
      <c r="D116" s="572"/>
      <c r="E116" s="143" t="s">
        <v>11</v>
      </c>
      <c r="F116" s="572" t="s">
        <v>23</v>
      </c>
      <c r="G116" s="572"/>
      <c r="H116" s="292" t="s">
        <v>30</v>
      </c>
      <c r="I116" s="290"/>
      <c r="J116" s="573" t="s">
        <v>35</v>
      </c>
      <c r="K116" s="573"/>
      <c r="L116" s="291"/>
      <c r="M116" s="290"/>
      <c r="N116" s="293" t="s">
        <v>36</v>
      </c>
      <c r="O116" s="277"/>
      <c r="P116" s="211"/>
    </row>
    <row r="117" spans="1:35" ht="25.5" customHeight="1">
      <c r="A117" s="341"/>
      <c r="B117" s="564" t="s">
        <v>106</v>
      </c>
      <c r="C117" s="561"/>
      <c r="D117" s="31" t="s">
        <v>25</v>
      </c>
      <c r="E117" s="31" t="s">
        <v>25</v>
      </c>
      <c r="F117" s="613">
        <f>BAAS_on.demand_SEK</f>
        <v>2.4500000000000002</v>
      </c>
      <c r="G117" s="614"/>
      <c r="H117" s="342"/>
      <c r="I117" s="555" t="s">
        <v>26</v>
      </c>
      <c r="J117" s="593" t="s">
        <v>25</v>
      </c>
      <c r="K117" s="593"/>
      <c r="L117" s="343"/>
      <c r="M117" s="299"/>
      <c r="N117" s="301">
        <f>ROUNDUP(H117*F117,2)</f>
        <v>0</v>
      </c>
      <c r="O117" s="277"/>
      <c r="P117" s="211"/>
    </row>
    <row r="118" spans="1:35" ht="25.5" customHeight="1">
      <c r="A118" s="341"/>
      <c r="B118" s="565" t="s">
        <v>107</v>
      </c>
      <c r="C118" s="563"/>
      <c r="D118" s="33">
        <v>5500</v>
      </c>
      <c r="E118" s="34" t="s">
        <v>25</v>
      </c>
      <c r="F118" s="616">
        <f>BAAS_small_SEK</f>
        <v>1.75</v>
      </c>
      <c r="G118" s="617"/>
      <c r="H118" s="344"/>
      <c r="I118" s="556" t="s">
        <v>26</v>
      </c>
      <c r="J118" s="597">
        <v>0.75</v>
      </c>
      <c r="K118" s="598"/>
      <c r="L118" s="303"/>
      <c r="M118" s="303"/>
      <c r="N118" s="305">
        <f>IF(H118&gt;0,IF(SUM($D$118+($F$118*((H118*(1-$J$118))-1000)))&lt;=D118,$D$118,$D$118+($F$118*((H118*(1-$J$118))-1000))),0)</f>
        <v>0</v>
      </c>
      <c r="O118" s="277"/>
      <c r="P118" s="211"/>
    </row>
    <row r="119" spans="1:35" s="348" customFormat="1" ht="25.5" customHeight="1">
      <c r="A119" s="345"/>
      <c r="B119" s="566" t="s">
        <v>108</v>
      </c>
      <c r="C119" s="562"/>
      <c r="D119" s="35">
        <v>9500</v>
      </c>
      <c r="E119" s="37" t="s">
        <v>25</v>
      </c>
      <c r="F119" s="618">
        <f>BAAS_large_SEK</f>
        <v>0.92</v>
      </c>
      <c r="G119" s="619"/>
      <c r="H119" s="330"/>
      <c r="I119" s="557" t="s">
        <v>26</v>
      </c>
      <c r="J119" s="602">
        <v>0.75</v>
      </c>
      <c r="K119" s="603"/>
      <c r="L119" s="331"/>
      <c r="M119" s="331"/>
      <c r="N119" s="334">
        <f>IF(H119&gt;0,$D$119+($F$119*(H119*(1-$J$119))),0)</f>
        <v>0</v>
      </c>
      <c r="O119" s="277"/>
      <c r="P119" s="347"/>
      <c r="W119" s="208"/>
      <c r="X119" s="208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</row>
    <row r="120" spans="1:35" s="348" customFormat="1" ht="25.5" customHeight="1">
      <c r="A120" s="345"/>
      <c r="B120" s="20" t="s">
        <v>20</v>
      </c>
      <c r="C120" s="21"/>
      <c r="D120" s="21"/>
      <c r="E120" s="21"/>
      <c r="F120" s="236"/>
      <c r="G120" s="237"/>
      <c r="H120" s="307" t="str">
        <f>SUM(H117:H119)&amp;" GB"</f>
        <v>0 GB</v>
      </c>
      <c r="I120" s="237"/>
      <c r="J120" s="237"/>
      <c r="K120" s="335"/>
      <c r="L120" s="335"/>
      <c r="N120" s="93">
        <f>SUM(N117:N119)</f>
        <v>0</v>
      </c>
      <c r="O120" s="277"/>
      <c r="P120" s="347"/>
      <c r="R120" s="349"/>
      <c r="W120" s="208"/>
      <c r="X120" s="208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</row>
    <row r="121" spans="1:35" s="348" customFormat="1" ht="25.5" customHeight="1">
      <c r="A121" s="345"/>
      <c r="B121" s="20"/>
      <c r="C121" s="21"/>
      <c r="D121" s="21"/>
      <c r="E121" s="21"/>
      <c r="F121" s="236"/>
      <c r="G121" s="237"/>
      <c r="H121" s="237"/>
      <c r="I121" s="237"/>
      <c r="J121" s="237"/>
      <c r="K121" s="335"/>
      <c r="L121" s="335"/>
      <c r="M121" s="50"/>
      <c r="N121" s="50"/>
      <c r="O121" s="277"/>
      <c r="P121" s="347"/>
      <c r="R121" s="349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</row>
    <row r="122" spans="1:35" s="348" customFormat="1" ht="25.5" customHeight="1">
      <c r="A122" s="345"/>
      <c r="B122" s="30" t="s">
        <v>37</v>
      </c>
      <c r="C122" s="21"/>
      <c r="D122" s="21"/>
      <c r="E122" s="21"/>
      <c r="F122" s="236"/>
      <c r="G122" s="237"/>
      <c r="H122" s="237"/>
      <c r="I122" s="237"/>
      <c r="J122" s="237"/>
      <c r="K122" s="335"/>
      <c r="L122" s="335"/>
      <c r="M122" s="50"/>
      <c r="N122" s="50"/>
      <c r="O122" s="50"/>
      <c r="P122" s="347"/>
      <c r="R122" s="349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</row>
    <row r="123" spans="1:35" ht="25.5" customHeight="1">
      <c r="B123" s="30" t="s">
        <v>38</v>
      </c>
      <c r="C123" s="21"/>
      <c r="D123" s="21"/>
      <c r="E123" s="21"/>
      <c r="F123" s="236"/>
      <c r="G123" s="237"/>
      <c r="H123" s="237"/>
      <c r="I123" s="237"/>
      <c r="J123" s="237"/>
      <c r="K123" s="335"/>
      <c r="L123" s="335"/>
      <c r="M123" s="50"/>
      <c r="N123" s="50"/>
      <c r="O123" s="50"/>
      <c r="P123" s="225"/>
      <c r="R123" s="197"/>
      <c r="S123" s="197"/>
    </row>
    <row r="124" spans="1:35" ht="25.5" customHeight="1">
      <c r="B124" s="30" t="s">
        <v>39</v>
      </c>
      <c r="C124" s="28"/>
      <c r="D124" s="28"/>
      <c r="E124" s="28"/>
      <c r="F124" s="337"/>
      <c r="G124" s="338"/>
      <c r="H124" s="309"/>
      <c r="I124" s="309"/>
      <c r="J124" s="309"/>
      <c r="K124" s="339"/>
      <c r="L124" s="339"/>
      <c r="M124" s="312"/>
      <c r="N124" s="312"/>
      <c r="O124" s="312"/>
      <c r="P124" s="225"/>
      <c r="R124" s="197"/>
      <c r="S124" s="197"/>
    </row>
    <row r="125" spans="1:35" ht="25.5" customHeight="1">
      <c r="B125" s="30" t="s">
        <v>40</v>
      </c>
      <c r="C125" s="28"/>
      <c r="D125" s="28"/>
      <c r="E125" s="28"/>
      <c r="F125" s="337"/>
      <c r="G125" s="338"/>
      <c r="H125" s="309"/>
      <c r="I125" s="309"/>
      <c r="J125" s="309"/>
      <c r="K125" s="339"/>
      <c r="L125" s="312"/>
      <c r="M125" s="312"/>
      <c r="N125" s="312"/>
      <c r="O125" s="207"/>
      <c r="P125" s="225"/>
      <c r="Q125" s="197"/>
      <c r="R125" s="197"/>
    </row>
    <row r="126" spans="1:35" ht="25.5" customHeight="1">
      <c r="B126" s="30"/>
      <c r="C126" s="28"/>
      <c r="D126" s="28"/>
      <c r="E126" s="28"/>
      <c r="F126" s="337"/>
      <c r="G126" s="338"/>
      <c r="H126" s="309"/>
      <c r="I126" s="309"/>
      <c r="J126" s="309"/>
      <c r="K126" s="339"/>
      <c r="L126" s="312"/>
      <c r="M126" s="312"/>
      <c r="N126" s="312"/>
      <c r="O126" s="207"/>
      <c r="P126" s="225"/>
      <c r="Q126" s="197"/>
      <c r="R126" s="197"/>
    </row>
    <row r="127" spans="1:35" ht="25.5" customHeight="1">
      <c r="B127" s="30"/>
      <c r="C127" s="28"/>
      <c r="D127" s="28"/>
      <c r="E127" s="28"/>
      <c r="F127" s="337"/>
      <c r="G127" s="338"/>
      <c r="H127" s="309"/>
      <c r="I127" s="309"/>
      <c r="J127" s="309"/>
      <c r="K127" s="339"/>
      <c r="L127" s="312"/>
      <c r="M127" s="312"/>
      <c r="N127" s="312"/>
      <c r="O127" s="207"/>
      <c r="P127" s="225"/>
      <c r="Q127" s="197"/>
      <c r="R127" s="197"/>
    </row>
    <row r="128" spans="1:35" ht="25.5" customHeight="1">
      <c r="B128" s="30"/>
      <c r="C128" s="28"/>
      <c r="D128" s="28"/>
      <c r="E128" s="28"/>
      <c r="F128" s="337"/>
      <c r="G128" s="338"/>
      <c r="H128" s="309"/>
      <c r="I128" s="309"/>
      <c r="J128" s="309"/>
      <c r="K128" s="339"/>
      <c r="L128" s="312"/>
      <c r="M128" s="312"/>
      <c r="N128" s="312"/>
      <c r="O128" s="207"/>
      <c r="P128" s="225"/>
      <c r="Q128" s="197"/>
      <c r="R128" s="197"/>
    </row>
    <row r="129" spans="2:22" ht="25.5" customHeight="1">
      <c r="B129" s="30"/>
      <c r="C129" s="28"/>
      <c r="D129" s="28"/>
      <c r="E129" s="28"/>
      <c r="F129" s="337"/>
      <c r="G129" s="338"/>
      <c r="H129" s="309"/>
      <c r="I129" s="309"/>
      <c r="J129" s="309"/>
      <c r="K129" s="339"/>
      <c r="L129" s="312"/>
      <c r="M129" s="312"/>
      <c r="N129" s="312"/>
      <c r="O129" s="207"/>
      <c r="P129" s="225"/>
      <c r="Q129" s="197"/>
      <c r="R129" s="197"/>
    </row>
    <row r="130" spans="2:22" s="192" customFormat="1" ht="25.5" customHeight="1">
      <c r="B130" s="570" t="s">
        <v>47</v>
      </c>
      <c r="C130" s="570"/>
      <c r="D130" s="570"/>
      <c r="E130" s="570"/>
      <c r="F130" s="570"/>
      <c r="G130" s="570"/>
      <c r="H130" s="193"/>
      <c r="J130" s="194"/>
      <c r="K130" s="194"/>
      <c r="M130" s="195"/>
      <c r="N130" s="312"/>
      <c r="O130" s="207"/>
      <c r="P130" s="225"/>
    </row>
    <row r="131" spans="2:22" s="192" customFormat="1" ht="25.5" customHeight="1">
      <c r="B131" s="570"/>
      <c r="C131" s="570"/>
      <c r="D131" s="570"/>
      <c r="E131" s="570"/>
      <c r="F131" s="570"/>
      <c r="G131" s="570"/>
      <c r="H131" s="193"/>
      <c r="J131" s="194"/>
      <c r="K131" s="194"/>
      <c r="M131" s="195"/>
      <c r="N131" s="312"/>
      <c r="O131" s="207"/>
      <c r="P131" s="225"/>
    </row>
    <row r="132" spans="2:22" s="192" customFormat="1" ht="25.5" customHeight="1">
      <c r="B132" s="570"/>
      <c r="C132" s="570"/>
      <c r="D132" s="570"/>
      <c r="E132" s="570"/>
      <c r="F132" s="570"/>
      <c r="G132" s="570"/>
      <c r="H132" s="193"/>
      <c r="J132" s="194"/>
      <c r="K132" s="194"/>
      <c r="M132" s="195"/>
      <c r="N132" s="312"/>
      <c r="O132" s="207"/>
      <c r="P132" s="225"/>
    </row>
    <row r="133" spans="2:22" s="192" customFormat="1" ht="25.5" customHeight="1">
      <c r="B133" s="589" t="s">
        <v>28</v>
      </c>
      <c r="C133" s="589"/>
      <c r="D133" s="589"/>
      <c r="E133" s="589"/>
      <c r="F133" s="589"/>
      <c r="H133" s="193"/>
      <c r="J133" s="194"/>
      <c r="K133" s="194"/>
      <c r="M133" s="195"/>
      <c r="N133" s="312"/>
      <c r="O133" s="207"/>
      <c r="P133" s="225"/>
    </row>
    <row r="134" spans="2:22" s="192" customFormat="1" ht="25.5" customHeight="1">
      <c r="B134" s="589"/>
      <c r="C134" s="589"/>
      <c r="D134" s="589"/>
      <c r="E134" s="589"/>
      <c r="F134" s="589"/>
      <c r="G134" s="199"/>
      <c r="H134" s="200"/>
      <c r="I134" s="199"/>
      <c r="J134" s="201"/>
      <c r="K134" s="202"/>
      <c r="L134" s="199"/>
      <c r="M134" s="203"/>
      <c r="N134" s="312"/>
      <c r="O134" s="207"/>
      <c r="P134" s="225"/>
    </row>
    <row r="135" spans="2:22" s="192" customFormat="1" ht="25.5" customHeight="1">
      <c r="B135" s="145"/>
      <c r="C135" s="145"/>
      <c r="D135" s="145"/>
      <c r="E135" s="145"/>
      <c r="F135" s="205"/>
      <c r="G135" s="199"/>
      <c r="H135" s="200"/>
      <c r="I135" s="199"/>
      <c r="J135" s="201"/>
      <c r="K135" s="202"/>
      <c r="L135" s="199"/>
      <c r="M135" s="203"/>
      <c r="N135" s="312"/>
      <c r="O135" s="207"/>
      <c r="P135" s="225"/>
    </row>
    <row r="136" spans="2:22" s="207" customFormat="1" ht="25.5" customHeight="1">
      <c r="B136" s="23" t="s">
        <v>48</v>
      </c>
      <c r="C136" s="145"/>
      <c r="D136" s="145"/>
      <c r="E136" s="145"/>
      <c r="F136" s="205"/>
      <c r="G136" s="199"/>
      <c r="H136" s="199"/>
      <c r="I136" s="199"/>
      <c r="J136" s="201"/>
      <c r="K136" s="202"/>
      <c r="L136" s="199"/>
      <c r="M136" s="203"/>
      <c r="N136" s="312"/>
      <c r="P136" s="225"/>
      <c r="Q136" s="197"/>
      <c r="R136" s="197"/>
      <c r="S136" s="197"/>
      <c r="T136" s="197"/>
      <c r="U136" s="197"/>
      <c r="V136" s="197"/>
    </row>
    <row r="137" spans="2:22" ht="25.5" customHeight="1">
      <c r="B137" s="552" t="s">
        <v>79</v>
      </c>
      <c r="C137" s="25" t="s">
        <v>22</v>
      </c>
      <c r="D137" s="25"/>
      <c r="E137" s="26" t="s">
        <v>185</v>
      </c>
      <c r="F137" s="290"/>
      <c r="G137" s="290"/>
      <c r="H137" s="290"/>
      <c r="I137" s="290"/>
      <c r="J137" s="290"/>
      <c r="K137" s="290"/>
      <c r="L137" s="350" t="s">
        <v>49</v>
      </c>
      <c r="M137" s="350"/>
      <c r="N137" s="293" t="s">
        <v>12</v>
      </c>
      <c r="O137" s="218"/>
      <c r="P137" s="225"/>
      <c r="Q137" s="352"/>
      <c r="R137" s="351"/>
      <c r="S137" s="312"/>
      <c r="T137" s="207"/>
    </row>
    <row r="138" spans="2:22" ht="25.5" customHeight="1">
      <c r="B138" s="146" t="s">
        <v>167</v>
      </c>
      <c r="C138" s="141" t="s">
        <v>125</v>
      </c>
      <c r="D138" s="141"/>
      <c r="E138" s="41" t="s">
        <v>50</v>
      </c>
      <c r="F138" s="353"/>
      <c r="G138" s="353"/>
      <c r="H138" s="353"/>
      <c r="I138" s="353"/>
      <c r="J138" s="353"/>
      <c r="K138" s="353"/>
      <c r="L138" s="355" t="s">
        <v>178</v>
      </c>
      <c r="M138" s="355"/>
      <c r="N138" s="356">
        <f>NET_publicv4_SEK</f>
        <v>20</v>
      </c>
      <c r="O138" s="208"/>
      <c r="P138" s="225"/>
      <c r="Q138" s="209"/>
      <c r="R138" s="173"/>
      <c r="S138" s="312"/>
      <c r="T138" s="207"/>
    </row>
    <row r="139" spans="2:22" ht="25.5" customHeight="1">
      <c r="B139" s="149" t="s">
        <v>168</v>
      </c>
      <c r="C139" s="142" t="s">
        <v>124</v>
      </c>
      <c r="D139" s="142"/>
      <c r="E139" s="43" t="s">
        <v>50</v>
      </c>
      <c r="F139" s="357"/>
      <c r="G139" s="357"/>
      <c r="H139" s="357"/>
      <c r="I139" s="357"/>
      <c r="J139" s="357"/>
      <c r="K139" s="357"/>
      <c r="L139" s="359" t="s">
        <v>25</v>
      </c>
      <c r="M139" s="359"/>
      <c r="N139" s="360">
        <f>NET_publicv6_SEK</f>
        <v>0</v>
      </c>
      <c r="O139" s="208"/>
      <c r="P139" s="225"/>
      <c r="Q139" s="209"/>
      <c r="R139" s="173"/>
      <c r="S139" s="312"/>
      <c r="T139" s="207"/>
    </row>
    <row r="140" spans="2:22" ht="25.5" customHeight="1">
      <c r="B140" s="146" t="s">
        <v>173</v>
      </c>
      <c r="C140" s="141" t="s">
        <v>123</v>
      </c>
      <c r="D140" s="141"/>
      <c r="E140" s="160"/>
      <c r="F140" s="361"/>
      <c r="G140" s="361"/>
      <c r="H140" s="361"/>
      <c r="I140" s="361"/>
      <c r="J140" s="361"/>
      <c r="K140" s="361"/>
      <c r="L140" s="355" t="s">
        <v>26</v>
      </c>
      <c r="M140" s="355"/>
      <c r="N140" s="356">
        <f>NET_ingress_SEK</f>
        <v>0</v>
      </c>
      <c r="O140" s="208"/>
      <c r="P140" s="225"/>
      <c r="Q140" s="209"/>
      <c r="R140" s="173"/>
      <c r="S140" s="312"/>
      <c r="T140" s="207"/>
    </row>
    <row r="141" spans="2:22" ht="25.5" customHeight="1">
      <c r="B141" s="149" t="s">
        <v>174</v>
      </c>
      <c r="C141" s="142" t="s">
        <v>123</v>
      </c>
      <c r="D141" s="142"/>
      <c r="E141" s="43" t="s">
        <v>175</v>
      </c>
      <c r="F141" s="357"/>
      <c r="G141" s="357"/>
      <c r="H141" s="357"/>
      <c r="I141" s="357"/>
      <c r="J141" s="357"/>
      <c r="K141" s="357"/>
      <c r="L141" s="363" t="s">
        <v>26</v>
      </c>
      <c r="M141" s="363"/>
      <c r="N141" s="360">
        <f>NET_egress_SEK</f>
        <v>0.25</v>
      </c>
      <c r="O141" s="208"/>
      <c r="P141" s="225"/>
      <c r="Q141" s="209"/>
      <c r="R141" s="173"/>
      <c r="S141" s="312"/>
      <c r="T141" s="207"/>
    </row>
    <row r="142" spans="2:22" ht="25.5" customHeight="1">
      <c r="B142" s="146" t="s">
        <v>170</v>
      </c>
      <c r="C142" s="141" t="s">
        <v>126</v>
      </c>
      <c r="D142" s="141"/>
      <c r="E142" s="32"/>
      <c r="F142" s="361"/>
      <c r="G142" s="361"/>
      <c r="H142" s="361"/>
      <c r="I142" s="361"/>
      <c r="J142" s="361"/>
      <c r="K142" s="361"/>
      <c r="L142" s="355" t="s">
        <v>267</v>
      </c>
      <c r="M142" s="355"/>
      <c r="N142" s="356">
        <f>NET_mgn.slb_SEK</f>
        <v>300</v>
      </c>
      <c r="O142" s="173"/>
      <c r="P142" s="225"/>
      <c r="Q142" s="173"/>
      <c r="R142" s="364"/>
      <c r="T142" s="341"/>
    </row>
    <row r="143" spans="2:22" ht="25.5" customHeight="1">
      <c r="B143" s="149" t="s">
        <v>172</v>
      </c>
      <c r="C143" s="142" t="s">
        <v>128</v>
      </c>
      <c r="D143" s="142"/>
      <c r="E143" s="43"/>
      <c r="F143" s="357"/>
      <c r="G143" s="357"/>
      <c r="H143" s="357"/>
      <c r="I143" s="357"/>
      <c r="J143" s="357"/>
      <c r="K143" s="357"/>
      <c r="L143" s="359" t="s">
        <v>25</v>
      </c>
      <c r="M143" s="359"/>
      <c r="N143" s="360">
        <f>NET_rdns_SEK</f>
        <v>0</v>
      </c>
      <c r="O143" s="208"/>
      <c r="P143" s="225"/>
      <c r="Q143" s="209"/>
      <c r="R143" s="173"/>
      <c r="S143" s="312"/>
      <c r="T143" s="207"/>
    </row>
    <row r="144" spans="2:22" ht="25.5" customHeight="1">
      <c r="B144" s="146" t="s">
        <v>171</v>
      </c>
      <c r="C144" s="141" t="s">
        <v>127</v>
      </c>
      <c r="D144" s="141"/>
      <c r="E144" s="32"/>
      <c r="F144" s="361"/>
      <c r="G144" s="361"/>
      <c r="H144" s="361"/>
      <c r="I144" s="361"/>
      <c r="J144" s="361"/>
      <c r="K144" s="361"/>
      <c r="L144" s="366" t="s">
        <v>25</v>
      </c>
      <c r="M144" s="366"/>
      <c r="N144" s="356">
        <f>NET_saferoute_SEK</f>
        <v>0</v>
      </c>
      <c r="O144" s="208"/>
      <c r="P144" s="225"/>
      <c r="Q144" s="209"/>
      <c r="R144" s="173"/>
      <c r="S144" s="312"/>
      <c r="T144" s="207"/>
    </row>
    <row r="145" spans="2:23" ht="25.5" customHeight="1">
      <c r="B145" s="149" t="s">
        <v>169</v>
      </c>
      <c r="C145" s="142" t="s">
        <v>122</v>
      </c>
      <c r="D145" s="142"/>
      <c r="E145" s="43"/>
      <c r="F145" s="357"/>
      <c r="G145" s="357"/>
      <c r="H145" s="357"/>
      <c r="I145" s="357"/>
      <c r="J145" s="357"/>
      <c r="K145" s="357"/>
      <c r="L145" s="359" t="s">
        <v>25</v>
      </c>
      <c r="M145" s="359"/>
      <c r="N145" s="360">
        <f>NET_byoip_SEK</f>
        <v>0</v>
      </c>
      <c r="O145" s="208"/>
      <c r="P145" s="225"/>
      <c r="Q145" s="209"/>
      <c r="R145" s="173"/>
      <c r="S145" s="312"/>
      <c r="T145" s="207"/>
    </row>
    <row r="146" spans="2:23" ht="40.5" customHeight="1">
      <c r="B146" s="153"/>
      <c r="C146" s="153"/>
      <c r="D146" s="154"/>
      <c r="E146" s="154"/>
      <c r="F146" s="368"/>
      <c r="G146" s="368"/>
      <c r="H146" s="368"/>
      <c r="I146" s="368"/>
      <c r="J146" s="368"/>
      <c r="K146" s="368"/>
      <c r="L146" s="367"/>
      <c r="M146" s="367"/>
      <c r="N146" s="368"/>
      <c r="O146" s="208"/>
      <c r="P146" s="225"/>
      <c r="Q146" s="209"/>
      <c r="R146" s="173"/>
      <c r="S146" s="312"/>
      <c r="T146" s="207"/>
    </row>
    <row r="147" spans="2:23" ht="25.5" customHeight="1">
      <c r="B147" s="479" t="s">
        <v>80</v>
      </c>
      <c r="C147" s="15"/>
      <c r="D147" s="15"/>
      <c r="E147" s="15"/>
      <c r="F147" s="218"/>
      <c r="G147" s="218"/>
      <c r="H147" s="218"/>
      <c r="I147" s="218"/>
      <c r="J147" s="218"/>
      <c r="K147" s="218"/>
      <c r="L147" s="369"/>
      <c r="M147" s="369"/>
      <c r="O147" s="173"/>
      <c r="P147" s="225"/>
      <c r="Q147" s="173"/>
      <c r="R147" s="364"/>
      <c r="S147" s="312"/>
      <c r="T147" s="207"/>
    </row>
    <row r="148" spans="2:23" ht="25.5" customHeight="1">
      <c r="B148" s="560" t="s">
        <v>79</v>
      </c>
      <c r="C148" s="25" t="s">
        <v>22</v>
      </c>
      <c r="D148" s="113"/>
      <c r="E148" s="113" t="s">
        <v>185</v>
      </c>
      <c r="F148" s="371"/>
      <c r="G148" s="371"/>
      <c r="H148" s="371"/>
      <c r="I148" s="371"/>
      <c r="J148" s="371"/>
      <c r="K148" s="371"/>
      <c r="L148" s="370" t="s">
        <v>49</v>
      </c>
      <c r="M148" s="370"/>
      <c r="N148" s="372" t="s">
        <v>12</v>
      </c>
      <c r="O148" s="208"/>
      <c r="P148" s="225"/>
      <c r="Q148" s="173"/>
      <c r="R148" s="173"/>
      <c r="S148" s="312"/>
      <c r="T148" s="207"/>
    </row>
    <row r="149" spans="2:23" ht="25.5" customHeight="1">
      <c r="B149" s="146" t="s">
        <v>81</v>
      </c>
      <c r="C149" s="141"/>
      <c r="D149" s="32"/>
      <c r="E149" s="32" t="s">
        <v>76</v>
      </c>
      <c r="F149" s="353"/>
      <c r="G149" s="353"/>
      <c r="H149" s="353"/>
      <c r="I149" s="353"/>
      <c r="J149" s="353"/>
      <c r="K149" s="353"/>
      <c r="L149" s="355" t="s">
        <v>8</v>
      </c>
      <c r="M149" s="355"/>
      <c r="N149" s="558">
        <f>SW_win.ser.201X_SEK</f>
        <v>78</v>
      </c>
      <c r="O149" s="309"/>
      <c r="P149" s="225"/>
      <c r="Q149" s="173"/>
      <c r="R149" s="312"/>
      <c r="S149" s="312"/>
      <c r="T149" s="207"/>
      <c r="V149" s="197"/>
      <c r="W149" s="197"/>
    </row>
    <row r="150" spans="2:23" ht="25.5" customHeight="1">
      <c r="B150" s="149" t="s">
        <v>82</v>
      </c>
      <c r="C150" s="142"/>
      <c r="D150" s="40"/>
      <c r="E150" s="40" t="s">
        <v>77</v>
      </c>
      <c r="F150" s="357"/>
      <c r="G150" s="357"/>
      <c r="H150" s="357"/>
      <c r="I150" s="357"/>
      <c r="J150" s="357"/>
      <c r="K150" s="357"/>
      <c r="L150" s="363" t="s">
        <v>8</v>
      </c>
      <c r="M150" s="363"/>
      <c r="N150" s="559">
        <f>SW_win.ser.201X_SEK</f>
        <v>78</v>
      </c>
      <c r="O150" s="309"/>
      <c r="P150" s="225"/>
      <c r="Q150" s="173"/>
      <c r="R150" s="312"/>
      <c r="S150" s="312"/>
      <c r="T150" s="207"/>
      <c r="V150" s="197"/>
      <c r="W150" s="197"/>
    </row>
    <row r="151" spans="2:23" s="192" customFormat="1" ht="25.5" customHeight="1">
      <c r="B151" s="146" t="s">
        <v>86</v>
      </c>
      <c r="C151" s="141"/>
      <c r="D151" s="32"/>
      <c r="E151" s="32" t="s">
        <v>78</v>
      </c>
      <c r="F151" s="353"/>
      <c r="G151" s="353"/>
      <c r="H151" s="353"/>
      <c r="I151" s="353"/>
      <c r="J151" s="353"/>
      <c r="K151" s="353"/>
      <c r="L151" s="355" t="s">
        <v>8</v>
      </c>
      <c r="M151" s="355"/>
      <c r="N151" s="558">
        <f>SW_ms.sql.ser_SEK</f>
        <v>940</v>
      </c>
      <c r="P151" s="225"/>
      <c r="Q151" s="173"/>
      <c r="S151" s="312"/>
      <c r="T151" s="207"/>
    </row>
    <row r="152" spans="2:23" ht="25.5" customHeight="1">
      <c r="B152" s="149" t="s">
        <v>133</v>
      </c>
      <c r="C152" s="142"/>
      <c r="D152" s="40"/>
      <c r="E152" s="40" t="s">
        <v>115</v>
      </c>
      <c r="F152" s="357"/>
      <c r="G152" s="357"/>
      <c r="H152" s="357"/>
      <c r="I152" s="357"/>
      <c r="J152" s="357"/>
      <c r="K152" s="357"/>
      <c r="L152" s="363" t="s">
        <v>176</v>
      </c>
      <c r="M152" s="363"/>
      <c r="N152" s="559">
        <f>SW_stackn_SEK</f>
        <v>9800</v>
      </c>
      <c r="O152" s="208"/>
      <c r="P152" s="225"/>
      <c r="Q152" s="173"/>
      <c r="R152" s="173"/>
      <c r="S152" s="312"/>
      <c r="T152" s="207"/>
    </row>
    <row r="153" spans="2:23" ht="25.5" customHeight="1">
      <c r="B153" s="146" t="s">
        <v>132</v>
      </c>
      <c r="C153" s="141"/>
      <c r="D153" s="32"/>
      <c r="E153" s="32" t="s">
        <v>131</v>
      </c>
      <c r="F153" s="353"/>
      <c r="G153" s="353"/>
      <c r="H153" s="353"/>
      <c r="I153" s="353"/>
      <c r="J153" s="353"/>
      <c r="K153" s="353"/>
      <c r="L153" s="366" t="s">
        <v>25</v>
      </c>
      <c r="M153" s="366"/>
      <c r="N153" s="558" t="str">
        <f>SW_nextcloud_SEK</f>
        <v>Begär offert</v>
      </c>
      <c r="O153" s="309"/>
      <c r="P153" s="225"/>
      <c r="Q153" s="173"/>
      <c r="R153" s="312"/>
      <c r="S153" s="312"/>
      <c r="T153" s="207"/>
      <c r="V153" s="197"/>
      <c r="W153" s="197"/>
    </row>
    <row r="154" spans="2:23" s="192" customFormat="1" ht="25.5" customHeight="1">
      <c r="B154" s="149" t="s">
        <v>138</v>
      </c>
      <c r="C154" s="142"/>
      <c r="D154" s="40"/>
      <c r="E154" s="40" t="s">
        <v>137</v>
      </c>
      <c r="F154" s="357"/>
      <c r="G154" s="357"/>
      <c r="H154" s="357"/>
      <c r="I154" s="357"/>
      <c r="J154" s="357"/>
      <c r="K154" s="357"/>
      <c r="L154" s="359" t="s">
        <v>25</v>
      </c>
      <c r="M154" s="359"/>
      <c r="N154" s="559" t="str">
        <f>SW_suse_SEK</f>
        <v>Begär offert</v>
      </c>
      <c r="P154" s="225"/>
      <c r="Q154" s="173"/>
      <c r="S154" s="312"/>
      <c r="T154" s="207"/>
    </row>
    <row r="155" spans="2:23" ht="25.5" customHeight="1">
      <c r="B155" s="146" t="s">
        <v>134</v>
      </c>
      <c r="C155" s="141"/>
      <c r="D155" s="32"/>
      <c r="E155" s="32" t="s">
        <v>85</v>
      </c>
      <c r="F155" s="353"/>
      <c r="G155" s="353"/>
      <c r="H155" s="353"/>
      <c r="I155" s="353"/>
      <c r="J155" s="353"/>
      <c r="K155" s="353"/>
      <c r="L155" s="366" t="s">
        <v>25</v>
      </c>
      <c r="M155" s="366"/>
      <c r="N155" s="558" t="str">
        <f>SW_cluster.control_SEK</f>
        <v>3x instanspris</v>
      </c>
      <c r="O155" s="208"/>
      <c r="P155" s="225"/>
      <c r="Q155" s="173"/>
      <c r="R155" s="173"/>
      <c r="S155" s="312"/>
      <c r="T155" s="207"/>
    </row>
    <row r="156" spans="2:23" ht="25.5" customHeight="1">
      <c r="B156" s="149" t="s">
        <v>84</v>
      </c>
      <c r="C156" s="142"/>
      <c r="D156" s="40"/>
      <c r="E156" s="40" t="s">
        <v>83</v>
      </c>
      <c r="F156" s="357"/>
      <c r="G156" s="357"/>
      <c r="H156" s="357"/>
      <c r="I156" s="357"/>
      <c r="J156" s="357"/>
      <c r="K156" s="357"/>
      <c r="L156" s="363" t="s">
        <v>177</v>
      </c>
      <c r="M156" s="363"/>
      <c r="N156" s="559">
        <f>SW_backup.ninja_SEK</f>
        <v>400</v>
      </c>
      <c r="O156" s="208"/>
      <c r="P156" s="225"/>
      <c r="Q156" s="173"/>
      <c r="R156" s="173"/>
      <c r="S156" s="312"/>
      <c r="T156" s="207"/>
    </row>
    <row r="157" spans="2:23" ht="25.5" customHeight="1">
      <c r="B157" s="112"/>
      <c r="C157" s="109"/>
      <c r="D157" s="110"/>
      <c r="E157" s="111"/>
      <c r="F157" s="374"/>
      <c r="G157" s="374"/>
      <c r="H157" s="374"/>
      <c r="I157" s="374"/>
      <c r="J157" s="374"/>
      <c r="K157" s="374"/>
      <c r="L157" s="375"/>
      <c r="M157" s="376"/>
      <c r="N157" s="377"/>
      <c r="O157" s="208"/>
      <c r="P157" s="225"/>
      <c r="Q157" s="209"/>
      <c r="R157" s="173"/>
      <c r="S157" s="312"/>
      <c r="T157" s="207"/>
    </row>
    <row r="158" spans="2:23" ht="25.5" customHeight="1">
      <c r="B158" s="554"/>
      <c r="J158" s="208"/>
      <c r="K158" s="208"/>
      <c r="L158" s="208"/>
      <c r="M158" s="378"/>
      <c r="O158" s="173"/>
      <c r="P158" s="225"/>
      <c r="Q158" s="173"/>
      <c r="R158" s="364"/>
      <c r="S158" s="312"/>
      <c r="T158" s="207"/>
    </row>
    <row r="159" spans="2:23" ht="25.5" customHeight="1">
      <c r="B159" s="479" t="s">
        <v>87</v>
      </c>
      <c r="C159" s="15"/>
      <c r="D159" s="15"/>
      <c r="F159" s="218"/>
      <c r="G159" s="218"/>
      <c r="H159" s="218"/>
      <c r="I159" s="218"/>
      <c r="J159" s="218"/>
      <c r="K159" s="218"/>
      <c r="L159" s="218"/>
      <c r="M159" s="369"/>
      <c r="O159" s="173"/>
      <c r="P159" s="225"/>
      <c r="Q159" s="173"/>
      <c r="R159" s="364"/>
      <c r="S159" s="312"/>
      <c r="T159" s="207"/>
    </row>
    <row r="160" spans="2:23" ht="25.5" customHeight="1">
      <c r="B160" s="552" t="s">
        <v>79</v>
      </c>
      <c r="C160" s="25"/>
      <c r="D160" s="25"/>
      <c r="E160" s="25" t="s">
        <v>185</v>
      </c>
      <c r="F160" s="290"/>
      <c r="G160" s="290"/>
      <c r="H160" s="290"/>
      <c r="I160" s="290"/>
      <c r="J160" s="290"/>
      <c r="K160" s="290"/>
      <c r="L160" s="293"/>
      <c r="M160" s="350"/>
      <c r="N160" s="293" t="s">
        <v>12</v>
      </c>
      <c r="O160" s="173"/>
      <c r="P160" s="225"/>
      <c r="Q160" s="173"/>
      <c r="R160" s="364"/>
      <c r="S160" s="312"/>
      <c r="T160" s="207"/>
    </row>
    <row r="161" spans="2:23" ht="25.5" customHeight="1">
      <c r="B161" s="146" t="s">
        <v>92</v>
      </c>
      <c r="C161" s="141"/>
      <c r="D161" s="32"/>
      <c r="E161" s="32" t="s">
        <v>116</v>
      </c>
      <c r="F161" s="353"/>
      <c r="G161" s="353"/>
      <c r="H161" s="353"/>
      <c r="I161" s="353"/>
      <c r="J161" s="353"/>
      <c r="K161" s="353"/>
      <c r="L161" s="354"/>
      <c r="M161" s="615">
        <f>PAAS_man.kubernetes_SEK</f>
        <v>49000</v>
      </c>
      <c r="N161" s="615"/>
      <c r="O161" s="173"/>
      <c r="P161" s="225"/>
      <c r="Q161" s="173"/>
      <c r="R161" s="364"/>
      <c r="S161" s="312"/>
      <c r="T161" s="207"/>
    </row>
    <row r="162" spans="2:23" ht="25.5" customHeight="1">
      <c r="B162" s="149" t="s">
        <v>93</v>
      </c>
      <c r="C162" s="142"/>
      <c r="D162" s="40"/>
      <c r="E162" s="40" t="s">
        <v>88</v>
      </c>
      <c r="F162" s="357"/>
      <c r="G162" s="357"/>
      <c r="H162" s="357"/>
      <c r="I162" s="357"/>
      <c r="J162" s="357"/>
      <c r="K162" s="357"/>
      <c r="L162" s="358"/>
      <c r="M162" s="610">
        <f>PAAS_man.postgres.sql_SEK</f>
        <v>19500</v>
      </c>
      <c r="N162" s="610"/>
      <c r="O162" s="173"/>
      <c r="P162" s="225"/>
      <c r="Q162" s="173"/>
      <c r="R162" s="364"/>
      <c r="S162" s="312"/>
      <c r="T162" s="207"/>
    </row>
    <row r="163" spans="2:23" ht="25.5" customHeight="1">
      <c r="B163" s="146" t="s">
        <v>94</v>
      </c>
      <c r="C163" s="141"/>
      <c r="D163" s="32"/>
      <c r="E163" s="32" t="s">
        <v>89</v>
      </c>
      <c r="F163" s="353"/>
      <c r="G163" s="353"/>
      <c r="H163" s="353"/>
      <c r="I163" s="353"/>
      <c r="J163" s="353"/>
      <c r="K163" s="353"/>
      <c r="L163" s="354"/>
      <c r="M163" s="611">
        <f>PAAS_man.elasticsearch_SEK</f>
        <v>19500</v>
      </c>
      <c r="N163" s="611"/>
      <c r="O163" s="173"/>
      <c r="P163" s="225"/>
      <c r="Q163" s="173"/>
      <c r="R163" s="364"/>
      <c r="S163" s="312"/>
      <c r="T163" s="207"/>
    </row>
    <row r="164" spans="2:23" ht="25.5" customHeight="1">
      <c r="B164" s="149" t="s">
        <v>95</v>
      </c>
      <c r="C164" s="142"/>
      <c r="D164" s="40"/>
      <c r="E164" s="40" t="s">
        <v>90</v>
      </c>
      <c r="F164" s="357"/>
      <c r="G164" s="357"/>
      <c r="H164" s="357"/>
      <c r="I164" s="357"/>
      <c r="J164" s="357"/>
      <c r="K164" s="357"/>
      <c r="L164" s="358"/>
      <c r="M164" s="610">
        <f>PAAS_man.redis_SEK</f>
        <v>19000</v>
      </c>
      <c r="N164" s="610"/>
      <c r="O164" s="173"/>
      <c r="P164" s="225"/>
      <c r="Q164" s="173"/>
      <c r="R164" s="364"/>
      <c r="S164" s="312"/>
      <c r="T164" s="207"/>
    </row>
    <row r="165" spans="2:23" ht="25.5" customHeight="1">
      <c r="B165" s="146" t="s">
        <v>96</v>
      </c>
      <c r="C165" s="141"/>
      <c r="D165" s="32"/>
      <c r="E165" s="32" t="s">
        <v>91</v>
      </c>
      <c r="F165" s="353"/>
      <c r="G165" s="353"/>
      <c r="H165" s="353"/>
      <c r="I165" s="353"/>
      <c r="J165" s="353"/>
      <c r="K165" s="353"/>
      <c r="L165" s="354"/>
      <c r="M165" s="611">
        <f>PAAS_man.nats_SEK</f>
        <v>19500</v>
      </c>
      <c r="N165" s="611"/>
      <c r="O165" s="173"/>
      <c r="P165" s="225"/>
      <c r="Q165" s="173"/>
      <c r="R165" s="364"/>
      <c r="S165" s="312"/>
      <c r="T165" s="207"/>
    </row>
    <row r="166" spans="2:23" ht="25.5" customHeight="1">
      <c r="B166" s="149" t="s">
        <v>139</v>
      </c>
      <c r="C166" s="142"/>
      <c r="D166" s="40"/>
      <c r="E166" s="40" t="s">
        <v>140</v>
      </c>
      <c r="F166" s="357"/>
      <c r="G166" s="357"/>
      <c r="H166" s="357"/>
      <c r="I166" s="357"/>
      <c r="J166" s="357"/>
      <c r="K166" s="357"/>
      <c r="L166" s="358"/>
      <c r="M166" s="612">
        <f>PAAS_man.mariadb_SEK</f>
        <v>19500</v>
      </c>
      <c r="N166" s="612"/>
      <c r="O166" s="173"/>
      <c r="P166" s="225"/>
      <c r="Q166" s="173"/>
      <c r="R166" s="364"/>
      <c r="S166" s="312"/>
      <c r="T166" s="207"/>
    </row>
    <row r="167" spans="2:23" ht="25.5" customHeight="1">
      <c r="B167" s="109"/>
      <c r="C167" s="109"/>
      <c r="D167" s="451"/>
      <c r="E167" s="111"/>
      <c r="F167" s="374"/>
      <c r="G167" s="374"/>
      <c r="H167" s="374"/>
      <c r="I167" s="374"/>
      <c r="J167" s="374"/>
      <c r="K167" s="374"/>
      <c r="L167" s="375"/>
      <c r="M167" s="376"/>
      <c r="N167" s="377"/>
      <c r="O167" s="173"/>
      <c r="P167" s="225"/>
      <c r="Q167" s="173"/>
      <c r="R167" s="364"/>
      <c r="S167" s="312"/>
      <c r="T167" s="207"/>
    </row>
    <row r="168" spans="2:23" ht="25.5" customHeight="1">
      <c r="B168" s="142"/>
      <c r="C168" s="142"/>
      <c r="D168" s="40"/>
      <c r="E168" s="33"/>
      <c r="F168" s="357"/>
      <c r="G168" s="358"/>
      <c r="H168" s="363"/>
      <c r="I168" s="360"/>
      <c r="N168" s="312"/>
      <c r="O168" s="207"/>
      <c r="P168" s="225"/>
    </row>
    <row r="169" spans="2:23" ht="25.5" customHeight="1">
      <c r="B169" s="30"/>
      <c r="C169" s="28"/>
      <c r="D169" s="28"/>
      <c r="E169" s="28"/>
      <c r="F169" s="337"/>
      <c r="G169" s="338"/>
      <c r="H169" s="336"/>
      <c r="I169" s="309"/>
      <c r="J169" s="309"/>
      <c r="K169" s="339"/>
      <c r="L169" s="312"/>
      <c r="M169" s="312"/>
      <c r="N169" s="312"/>
      <c r="O169" s="207"/>
      <c r="P169" s="225"/>
      <c r="Q169" s="197"/>
      <c r="R169" s="197"/>
    </row>
    <row r="170" spans="2:23" s="192" customFormat="1" ht="25.5" customHeight="1">
      <c r="B170" s="570" t="s">
        <v>158</v>
      </c>
      <c r="C170" s="570"/>
      <c r="D170" s="570"/>
      <c r="E170" s="570"/>
      <c r="F170" s="570"/>
      <c r="G170" s="570"/>
      <c r="H170" s="379"/>
      <c r="J170" s="194"/>
      <c r="K170" s="194"/>
      <c r="M170" s="195"/>
      <c r="N170" s="312"/>
      <c r="O170" s="207"/>
      <c r="P170" s="225"/>
    </row>
    <row r="171" spans="2:23" s="192" customFormat="1" ht="25.5" customHeight="1">
      <c r="B171" s="570"/>
      <c r="C171" s="570"/>
      <c r="D171" s="570"/>
      <c r="E171" s="570"/>
      <c r="F171" s="570"/>
      <c r="G171" s="570"/>
      <c r="H171" s="379"/>
      <c r="J171" s="194"/>
      <c r="K171" s="194"/>
      <c r="M171" s="195"/>
      <c r="N171" s="312"/>
      <c r="O171" s="207"/>
      <c r="P171" s="225"/>
    </row>
    <row r="172" spans="2:23" s="192" customFormat="1" ht="25.5" customHeight="1">
      <c r="B172" s="570"/>
      <c r="C172" s="570"/>
      <c r="D172" s="570"/>
      <c r="E172" s="570"/>
      <c r="F172" s="570"/>
      <c r="G172" s="570"/>
      <c r="H172" s="379"/>
      <c r="J172" s="194"/>
      <c r="K172" s="194"/>
      <c r="M172" s="195"/>
      <c r="N172" s="312"/>
      <c r="O172" s="207"/>
      <c r="P172" s="225"/>
    </row>
    <row r="173" spans="2:23" s="192" customFormat="1" ht="25.5" customHeight="1">
      <c r="B173" s="589" t="s">
        <v>28</v>
      </c>
      <c r="C173" s="589"/>
      <c r="D173" s="589"/>
      <c r="E173" s="589"/>
      <c r="F173" s="589"/>
      <c r="H173" s="379"/>
      <c r="J173" s="194"/>
      <c r="K173" s="194"/>
      <c r="M173" s="195"/>
      <c r="N173" s="312"/>
      <c r="O173" s="207"/>
      <c r="P173" s="225"/>
    </row>
    <row r="174" spans="2:23" s="192" customFormat="1" ht="25.5" customHeight="1">
      <c r="B174" s="589"/>
      <c r="C174" s="589"/>
      <c r="D174" s="589"/>
      <c r="E174" s="589"/>
      <c r="F174" s="589"/>
      <c r="G174" s="199"/>
      <c r="H174" s="200"/>
      <c r="I174" s="199"/>
      <c r="J174" s="201"/>
      <c r="K174" s="202"/>
      <c r="L174" s="199"/>
      <c r="M174" s="203"/>
      <c r="N174" s="312"/>
      <c r="O174" s="207"/>
      <c r="P174" s="225"/>
    </row>
    <row r="175" spans="2:23" s="192" customFormat="1" ht="25.5" customHeight="1">
      <c r="B175" s="145"/>
      <c r="C175" s="145"/>
      <c r="D175" s="145"/>
      <c r="E175" s="145"/>
      <c r="F175" s="205"/>
      <c r="G175" s="199"/>
      <c r="H175" s="200"/>
      <c r="I175" s="199"/>
      <c r="J175" s="201"/>
      <c r="K175" s="202"/>
      <c r="L175" s="199"/>
      <c r="M175" s="203"/>
      <c r="N175" s="312"/>
      <c r="O175" s="207"/>
      <c r="P175" s="225"/>
    </row>
    <row r="176" spans="2:23" ht="25.5" customHeight="1">
      <c r="B176" s="479" t="s">
        <v>159</v>
      </c>
      <c r="C176" s="15"/>
      <c r="D176" s="15"/>
      <c r="F176" s="218"/>
      <c r="G176" s="218"/>
      <c r="H176" s="218"/>
      <c r="I176" s="218"/>
      <c r="J176" s="218"/>
      <c r="K176" s="218"/>
      <c r="L176" s="218"/>
      <c r="M176" s="369"/>
      <c r="O176" s="309"/>
      <c r="P176" s="225"/>
      <c r="R176" s="312"/>
      <c r="S176" s="312"/>
      <c r="T176" s="207"/>
      <c r="V176" s="197"/>
      <c r="W176" s="197"/>
    </row>
    <row r="177" spans="2:23" ht="25.5" customHeight="1">
      <c r="B177" s="552" t="s">
        <v>79</v>
      </c>
      <c r="C177" s="25"/>
      <c r="D177" s="25" t="s">
        <v>185</v>
      </c>
      <c r="E177" s="144"/>
      <c r="F177" s="290"/>
      <c r="G177" s="293"/>
      <c r="H177" s="293"/>
      <c r="I177" s="293"/>
      <c r="J177" s="293"/>
      <c r="K177" s="293"/>
      <c r="L177" s="350" t="s">
        <v>49</v>
      </c>
      <c r="M177" s="350"/>
      <c r="N177" s="293" t="s">
        <v>36</v>
      </c>
      <c r="O177" s="309"/>
      <c r="P177" s="225"/>
      <c r="R177" s="312"/>
      <c r="S177" s="312"/>
      <c r="T177" s="207"/>
      <c r="V177" s="197"/>
      <c r="W177" s="197"/>
    </row>
    <row r="178" spans="2:23" ht="25.5" customHeight="1">
      <c r="B178" s="146" t="s">
        <v>163</v>
      </c>
      <c r="C178" s="141"/>
      <c r="D178" s="32" t="s">
        <v>160</v>
      </c>
      <c r="E178" s="42"/>
      <c r="F178" s="353"/>
      <c r="G178" s="354"/>
      <c r="H178" s="354"/>
      <c r="I178" s="354"/>
      <c r="J178" s="354"/>
      <c r="K178" s="354"/>
      <c r="L178" s="366" t="s">
        <v>25</v>
      </c>
      <c r="M178" s="366"/>
      <c r="N178" s="516">
        <v>0</v>
      </c>
      <c r="O178" s="309"/>
      <c r="P178" s="225"/>
      <c r="R178" s="312"/>
      <c r="S178" s="312"/>
      <c r="T178" s="207"/>
      <c r="V178" s="197"/>
      <c r="W178" s="197"/>
    </row>
    <row r="179" spans="2:23" ht="25.5" customHeight="1">
      <c r="B179" s="149" t="s">
        <v>164</v>
      </c>
      <c r="C179" s="142"/>
      <c r="D179" s="40" t="s">
        <v>161</v>
      </c>
      <c r="E179" s="33"/>
      <c r="F179" s="357"/>
      <c r="G179" s="358"/>
      <c r="H179" s="358"/>
      <c r="I179" s="358"/>
      <c r="J179" s="358"/>
      <c r="K179" s="358"/>
      <c r="L179" s="363" t="s">
        <v>303</v>
      </c>
      <c r="M179" s="359"/>
      <c r="N179" s="515" t="s">
        <v>302</v>
      </c>
      <c r="O179" s="309"/>
      <c r="P179" s="225"/>
      <c r="R179" s="312"/>
      <c r="S179" s="312"/>
      <c r="T179" s="207"/>
      <c r="V179" s="197"/>
      <c r="W179" s="197"/>
    </row>
    <row r="180" spans="2:23" ht="25.5" customHeight="1">
      <c r="B180" s="146" t="s">
        <v>165</v>
      </c>
      <c r="C180" s="141"/>
      <c r="D180" s="32" t="s">
        <v>162</v>
      </c>
      <c r="E180" s="42"/>
      <c r="F180" s="353"/>
      <c r="G180" s="354"/>
      <c r="H180" s="354"/>
      <c r="I180" s="354"/>
      <c r="J180" s="354"/>
      <c r="K180" s="354"/>
      <c r="L180" s="355" t="s">
        <v>147</v>
      </c>
      <c r="M180" s="355"/>
      <c r="N180" s="516" t="s">
        <v>121</v>
      </c>
      <c r="O180" s="309"/>
      <c r="P180" s="225"/>
      <c r="R180" s="312"/>
      <c r="S180" s="312"/>
      <c r="T180" s="207"/>
      <c r="V180" s="197"/>
      <c r="W180" s="197"/>
    </row>
    <row r="181" spans="2:23" ht="25.5" customHeight="1">
      <c r="B181" s="112"/>
      <c r="C181" s="109"/>
      <c r="D181" s="451" t="s">
        <v>266</v>
      </c>
      <c r="E181" s="111"/>
      <c r="F181" s="374"/>
      <c r="G181" s="375"/>
      <c r="H181" s="375"/>
      <c r="I181" s="375"/>
      <c r="J181" s="375"/>
      <c r="K181" s="375"/>
      <c r="L181" s="376"/>
      <c r="M181" s="376"/>
      <c r="N181" s="377"/>
      <c r="O181" s="309"/>
      <c r="P181" s="225"/>
      <c r="Q181" s="312"/>
      <c r="R181" s="312"/>
      <c r="S181" s="312"/>
      <c r="T181" s="207"/>
      <c r="V181" s="197"/>
      <c r="W181" s="197"/>
    </row>
    <row r="182" spans="2:23" ht="25.5" customHeight="1">
      <c r="B182" s="149"/>
      <c r="C182" s="142"/>
      <c r="D182" s="40"/>
      <c r="E182" s="33"/>
      <c r="F182" s="357"/>
      <c r="G182" s="358"/>
      <c r="H182" s="358"/>
      <c r="I182" s="358"/>
      <c r="J182" s="358"/>
      <c r="K182" s="358"/>
      <c r="L182" s="363"/>
      <c r="M182" s="363"/>
      <c r="N182" s="360"/>
      <c r="O182" s="309"/>
      <c r="P182" s="225"/>
      <c r="Q182" s="312"/>
      <c r="R182" s="312"/>
      <c r="S182" s="312"/>
      <c r="T182" s="207"/>
      <c r="V182" s="197"/>
      <c r="W182" s="197"/>
    </row>
    <row r="183" spans="2:23" ht="25.5" customHeight="1">
      <c r="B183" s="479" t="s">
        <v>148</v>
      </c>
      <c r="C183" s="15"/>
      <c r="D183" s="15"/>
      <c r="F183" s="218"/>
      <c r="G183" s="218"/>
      <c r="H183" s="218"/>
      <c r="I183" s="218"/>
      <c r="J183" s="218"/>
      <c r="K183" s="218"/>
      <c r="L183" s="369"/>
      <c r="M183" s="369"/>
      <c r="O183" s="309"/>
      <c r="P183" s="225"/>
      <c r="R183" s="312"/>
      <c r="S183" s="312"/>
      <c r="T183" s="207"/>
      <c r="V183" s="197"/>
      <c r="W183" s="197"/>
    </row>
    <row r="184" spans="2:23" ht="25.5" customHeight="1">
      <c r="B184" s="552" t="s">
        <v>79</v>
      </c>
      <c r="C184" s="25"/>
      <c r="D184" s="25" t="s">
        <v>185</v>
      </c>
      <c r="E184" s="144"/>
      <c r="F184" s="290"/>
      <c r="G184" s="293"/>
      <c r="H184" s="293"/>
      <c r="I184" s="293"/>
      <c r="J184" s="293"/>
      <c r="K184" s="293"/>
      <c r="L184" s="350" t="s">
        <v>49</v>
      </c>
      <c r="M184" s="350"/>
      <c r="N184" s="293" t="s">
        <v>36</v>
      </c>
      <c r="O184" s="309"/>
      <c r="P184" s="225"/>
      <c r="R184" s="312"/>
      <c r="S184" s="312"/>
      <c r="T184" s="207"/>
      <c r="V184" s="197"/>
      <c r="W184" s="197"/>
    </row>
    <row r="185" spans="2:23" ht="25.5" customHeight="1">
      <c r="B185" s="146" t="s">
        <v>205</v>
      </c>
      <c r="C185" s="141"/>
      <c r="D185" s="32" t="s">
        <v>141</v>
      </c>
      <c r="E185" s="42"/>
      <c r="F185" s="353"/>
      <c r="G185" s="354"/>
      <c r="H185" s="354"/>
      <c r="I185" s="354"/>
      <c r="J185" s="354"/>
      <c r="K185" s="354"/>
      <c r="L185" s="355" t="s">
        <v>147</v>
      </c>
      <c r="M185" s="355"/>
      <c r="N185" s="501">
        <f>PS_consult.jun_SEK</f>
        <v>1127</v>
      </c>
      <c r="O185" s="309"/>
      <c r="P185" s="225"/>
      <c r="R185" s="312"/>
      <c r="S185" s="312"/>
      <c r="T185" s="207"/>
      <c r="V185" s="197"/>
      <c r="W185" s="197"/>
    </row>
    <row r="186" spans="2:23" ht="25.5" customHeight="1">
      <c r="B186" s="149" t="s">
        <v>206</v>
      </c>
      <c r="C186" s="142"/>
      <c r="D186" s="40" t="s">
        <v>142</v>
      </c>
      <c r="E186" s="33"/>
      <c r="F186" s="357"/>
      <c r="G186" s="358"/>
      <c r="H186" s="358"/>
      <c r="I186" s="358"/>
      <c r="J186" s="358"/>
      <c r="K186" s="358"/>
      <c r="L186" s="363" t="s">
        <v>147</v>
      </c>
      <c r="M186" s="363"/>
      <c r="N186" s="502">
        <f>PS_consult.sen_SEK</f>
        <v>1374</v>
      </c>
      <c r="O186" s="309"/>
      <c r="P186" s="225"/>
      <c r="R186" s="312"/>
      <c r="S186" s="312"/>
      <c r="T186" s="207"/>
      <c r="V186" s="197"/>
      <c r="W186" s="197"/>
    </row>
    <row r="187" spans="2:23" ht="25.5" customHeight="1">
      <c r="B187" s="146" t="s">
        <v>207</v>
      </c>
      <c r="C187" s="141"/>
      <c r="D187" s="32" t="s">
        <v>143</v>
      </c>
      <c r="E187" s="42"/>
      <c r="F187" s="353"/>
      <c r="G187" s="354"/>
      <c r="H187" s="354"/>
      <c r="I187" s="354"/>
      <c r="J187" s="354"/>
      <c r="K187" s="354"/>
      <c r="L187" s="355" t="s">
        <v>147</v>
      </c>
      <c r="M187" s="355"/>
      <c r="N187" s="501">
        <f>PS_cloudarch.jun_SEK</f>
        <v>1277</v>
      </c>
      <c r="O187" s="309"/>
      <c r="P187" s="225"/>
      <c r="R187" s="312"/>
      <c r="S187" s="312"/>
      <c r="T187" s="207"/>
      <c r="V187" s="197"/>
      <c r="W187" s="197"/>
    </row>
    <row r="188" spans="2:23" ht="25.5" customHeight="1">
      <c r="B188" s="149" t="s">
        <v>208</v>
      </c>
      <c r="C188" s="142"/>
      <c r="D188" s="40" t="s">
        <v>144</v>
      </c>
      <c r="E188" s="40"/>
      <c r="F188" s="373"/>
      <c r="G188" s="358"/>
      <c r="H188" s="358"/>
      <c r="I188" s="358"/>
      <c r="J188" s="358"/>
      <c r="K188" s="358"/>
      <c r="L188" s="363" t="s">
        <v>147</v>
      </c>
      <c r="M188" s="363"/>
      <c r="N188" s="502">
        <f>PS_cloudarch.sen_SEK</f>
        <v>1374</v>
      </c>
      <c r="O188" s="309"/>
      <c r="P188" s="225"/>
      <c r="R188" s="312"/>
      <c r="S188" s="312"/>
      <c r="T188" s="207"/>
      <c r="V188" s="197"/>
      <c r="W188" s="197"/>
    </row>
    <row r="189" spans="2:23" ht="25.5" customHeight="1">
      <c r="B189" s="146" t="s">
        <v>209</v>
      </c>
      <c r="C189" s="141"/>
      <c r="D189" s="32" t="s">
        <v>145</v>
      </c>
      <c r="E189" s="42"/>
      <c r="F189" s="353"/>
      <c r="G189" s="354"/>
      <c r="H189" s="354"/>
      <c r="I189" s="354"/>
      <c r="J189" s="354"/>
      <c r="K189" s="354"/>
      <c r="L189" s="355" t="s">
        <v>147</v>
      </c>
      <c r="M189" s="355"/>
      <c r="N189" s="501">
        <f>PS_pm.jun_SEK</f>
        <v>1139</v>
      </c>
      <c r="O189" s="309"/>
      <c r="P189" s="225"/>
      <c r="R189" s="312"/>
      <c r="S189" s="312"/>
      <c r="T189" s="207"/>
      <c r="V189" s="197"/>
      <c r="W189" s="197"/>
    </row>
    <row r="190" spans="2:23" ht="25.5" customHeight="1">
      <c r="B190" s="149" t="s">
        <v>210</v>
      </c>
      <c r="C190" s="142"/>
      <c r="D190" s="40" t="s">
        <v>146</v>
      </c>
      <c r="E190" s="33"/>
      <c r="F190" s="357"/>
      <c r="G190" s="358"/>
      <c r="H190" s="358"/>
      <c r="I190" s="358"/>
      <c r="J190" s="358"/>
      <c r="K190" s="358"/>
      <c r="L190" s="363" t="s">
        <v>147</v>
      </c>
      <c r="M190" s="363"/>
      <c r="N190" s="502">
        <f>PS_pm.sen_SEK</f>
        <v>1374</v>
      </c>
      <c r="O190" s="309"/>
      <c r="P190" s="225"/>
      <c r="R190" s="312"/>
      <c r="S190" s="312"/>
      <c r="T190" s="207"/>
      <c r="V190" s="197"/>
      <c r="W190" s="197"/>
    </row>
    <row r="191" spans="2:23" ht="25.5" customHeight="1">
      <c r="B191" s="112"/>
      <c r="C191" s="109"/>
      <c r="D191" s="451"/>
      <c r="E191" s="111"/>
      <c r="F191" s="374"/>
      <c r="G191" s="375"/>
      <c r="H191" s="375"/>
      <c r="I191" s="375"/>
      <c r="J191" s="375"/>
      <c r="K191" s="375"/>
      <c r="L191" s="376"/>
      <c r="M191" s="376"/>
      <c r="N191" s="377"/>
      <c r="O191" s="309"/>
      <c r="P191" s="225"/>
      <c r="Q191" s="312"/>
      <c r="R191" s="312"/>
      <c r="S191" s="312"/>
      <c r="T191" s="207"/>
      <c r="V191" s="197"/>
      <c r="W191" s="197"/>
    </row>
    <row r="192" spans="2:23" ht="25.5" customHeight="1">
      <c r="B192" s="142"/>
      <c r="C192" s="142"/>
      <c r="D192" s="40"/>
      <c r="E192" s="33"/>
      <c r="F192" s="357"/>
      <c r="G192" s="358"/>
      <c r="H192" s="358"/>
      <c r="I192" s="358"/>
      <c r="J192" s="358"/>
      <c r="K192" s="358"/>
      <c r="L192" s="363"/>
      <c r="M192" s="363"/>
      <c r="N192" s="360"/>
      <c r="O192" s="173"/>
      <c r="P192" s="225"/>
      <c r="Q192" s="173"/>
      <c r="R192" s="364"/>
      <c r="S192" s="312"/>
      <c r="T192" s="207"/>
    </row>
    <row r="193" spans="1:23" ht="25.5" customHeight="1">
      <c r="B193" s="479" t="s">
        <v>149</v>
      </c>
      <c r="C193" s="15"/>
      <c r="D193" s="15"/>
      <c r="F193" s="218"/>
      <c r="G193" s="218"/>
      <c r="H193" s="218"/>
      <c r="I193" s="218"/>
      <c r="J193" s="218"/>
      <c r="K193" s="218"/>
      <c r="L193" s="369"/>
      <c r="M193" s="369"/>
      <c r="O193" s="309"/>
      <c r="P193" s="225"/>
      <c r="R193" s="312"/>
      <c r="S193" s="312"/>
      <c r="T193" s="207"/>
      <c r="V193" s="197"/>
      <c r="W193" s="197"/>
    </row>
    <row r="194" spans="1:23" ht="25.5" customHeight="1">
      <c r="B194" s="552" t="s">
        <v>79</v>
      </c>
      <c r="C194" s="25"/>
      <c r="D194" s="25" t="s">
        <v>185</v>
      </c>
      <c r="E194" s="144"/>
      <c r="F194" s="290"/>
      <c r="G194" s="350" t="s">
        <v>151</v>
      </c>
      <c r="H194" s="350"/>
      <c r="I194" s="350"/>
      <c r="J194" s="350"/>
      <c r="K194" s="350"/>
      <c r="L194" s="350" t="s">
        <v>49</v>
      </c>
      <c r="M194" s="350"/>
      <c r="N194" s="293" t="s">
        <v>36</v>
      </c>
      <c r="O194" s="309"/>
      <c r="P194" s="225"/>
      <c r="R194" s="312"/>
      <c r="S194" s="312"/>
      <c r="T194" s="207"/>
      <c r="V194" s="197"/>
      <c r="W194" s="197"/>
    </row>
    <row r="195" spans="1:23" ht="25.5" customHeight="1">
      <c r="B195" s="146" t="s">
        <v>201</v>
      </c>
      <c r="C195" s="141"/>
      <c r="D195" s="32" t="s">
        <v>154</v>
      </c>
      <c r="E195" s="42"/>
      <c r="F195" s="353"/>
      <c r="G195" s="355" t="s">
        <v>152</v>
      </c>
      <c r="H195" s="355"/>
      <c r="I195" s="355"/>
      <c r="J195" s="355"/>
      <c r="K195" s="355"/>
      <c r="L195" s="355" t="s">
        <v>150</v>
      </c>
      <c r="M195" s="355"/>
      <c r="N195" s="516" t="s">
        <v>121</v>
      </c>
      <c r="O195" s="309"/>
      <c r="P195" s="225"/>
      <c r="R195" s="312"/>
      <c r="S195" s="312"/>
      <c r="T195" s="207"/>
      <c r="V195" s="197"/>
      <c r="W195" s="197"/>
    </row>
    <row r="196" spans="1:23" ht="25.5" customHeight="1">
      <c r="B196" s="149" t="s">
        <v>202</v>
      </c>
      <c r="C196" s="142"/>
      <c r="D196" s="40" t="s">
        <v>155</v>
      </c>
      <c r="E196" s="33"/>
      <c r="F196" s="357"/>
      <c r="G196" s="363" t="s">
        <v>152</v>
      </c>
      <c r="H196" s="363"/>
      <c r="I196" s="363"/>
      <c r="J196" s="363"/>
      <c r="K196" s="363"/>
      <c r="L196" s="363" t="s">
        <v>150</v>
      </c>
      <c r="M196" s="363"/>
      <c r="N196" s="515" t="s">
        <v>121</v>
      </c>
      <c r="O196" s="309"/>
      <c r="P196" s="225"/>
      <c r="R196" s="312"/>
      <c r="S196" s="312"/>
      <c r="T196" s="207"/>
      <c r="V196" s="197"/>
      <c r="W196" s="197"/>
    </row>
    <row r="197" spans="1:23" ht="25.5" customHeight="1">
      <c r="B197" s="146" t="s">
        <v>203</v>
      </c>
      <c r="C197" s="141"/>
      <c r="D197" s="32" t="s">
        <v>156</v>
      </c>
      <c r="E197" s="42"/>
      <c r="F197" s="353"/>
      <c r="G197" s="355" t="s">
        <v>153</v>
      </c>
      <c r="H197" s="355"/>
      <c r="I197" s="355"/>
      <c r="J197" s="355"/>
      <c r="K197" s="355"/>
      <c r="L197" s="355" t="s">
        <v>150</v>
      </c>
      <c r="M197" s="355"/>
      <c r="N197" s="516" t="s">
        <v>121</v>
      </c>
      <c r="O197" s="309"/>
      <c r="P197" s="225"/>
      <c r="R197" s="312"/>
      <c r="S197" s="312"/>
      <c r="T197" s="207"/>
      <c r="V197" s="197"/>
      <c r="W197" s="197"/>
    </row>
    <row r="198" spans="1:23" ht="25.5" customHeight="1">
      <c r="B198" s="149" t="s">
        <v>204</v>
      </c>
      <c r="C198" s="142"/>
      <c r="D198" s="40" t="s">
        <v>157</v>
      </c>
      <c r="E198" s="33"/>
      <c r="F198" s="357"/>
      <c r="G198" s="363" t="s">
        <v>153</v>
      </c>
      <c r="H198" s="363"/>
      <c r="I198" s="363"/>
      <c r="J198" s="363"/>
      <c r="K198" s="363"/>
      <c r="L198" s="363" t="s">
        <v>150</v>
      </c>
      <c r="M198" s="363"/>
      <c r="N198" s="515" t="s">
        <v>121</v>
      </c>
      <c r="O198" s="309"/>
      <c r="P198" s="225"/>
      <c r="R198" s="312"/>
      <c r="S198" s="312"/>
      <c r="T198" s="207"/>
      <c r="V198" s="197"/>
      <c r="W198" s="197"/>
    </row>
    <row r="199" spans="1:23" ht="25.5" customHeight="1">
      <c r="B199" s="109"/>
      <c r="C199" s="109"/>
      <c r="D199" s="451"/>
      <c r="E199" s="111"/>
      <c r="F199" s="374"/>
      <c r="G199" s="375"/>
      <c r="H199" s="375"/>
      <c r="I199" s="375"/>
      <c r="J199" s="375"/>
      <c r="K199" s="375"/>
      <c r="L199" s="375"/>
      <c r="M199" s="375"/>
      <c r="N199" s="377"/>
      <c r="O199" s="309"/>
      <c r="P199" s="225"/>
      <c r="Q199" s="312"/>
      <c r="R199" s="312"/>
      <c r="S199" s="312"/>
      <c r="T199" s="207"/>
      <c r="V199" s="197"/>
      <c r="W199" s="197"/>
    </row>
    <row r="200" spans="1:23" ht="25.5" customHeight="1">
      <c r="B200" s="30"/>
      <c r="C200" s="28"/>
      <c r="D200" s="28"/>
      <c r="E200" s="28"/>
      <c r="F200" s="337"/>
      <c r="G200" s="338"/>
      <c r="H200" s="309"/>
      <c r="I200" s="309"/>
      <c r="J200" s="309"/>
      <c r="K200" s="339"/>
      <c r="L200" s="312"/>
      <c r="M200" s="312"/>
      <c r="N200" s="312"/>
      <c r="O200" s="207"/>
      <c r="P200" s="225"/>
      <c r="Q200" s="197"/>
      <c r="R200" s="197"/>
    </row>
    <row r="201" spans="1:23" ht="25.5" customHeight="1">
      <c r="A201" s="383"/>
      <c r="B201" s="68"/>
      <c r="C201" s="62"/>
      <c r="D201" s="62"/>
      <c r="E201" s="62"/>
      <c r="F201" s="384"/>
      <c r="G201" s="385"/>
      <c r="H201" s="386"/>
      <c r="I201" s="386"/>
      <c r="J201" s="386"/>
      <c r="K201" s="387"/>
      <c r="L201" s="388"/>
      <c r="M201" s="388"/>
      <c r="N201" s="388"/>
      <c r="O201" s="389"/>
      <c r="P201" s="225"/>
      <c r="Q201" s="197"/>
      <c r="R201" s="197"/>
    </row>
    <row r="202" spans="1:23" s="192" customFormat="1" ht="25.5" customHeight="1">
      <c r="A202" s="174"/>
      <c r="B202" s="56"/>
      <c r="C202" s="56"/>
      <c r="D202" s="56"/>
      <c r="E202" s="56"/>
      <c r="F202" s="390"/>
      <c r="G202" s="391"/>
      <c r="H202" s="392"/>
      <c r="I202" s="392"/>
      <c r="J202" s="392"/>
      <c r="K202" s="393"/>
      <c r="L202" s="394"/>
      <c r="M202" s="394"/>
      <c r="N202" s="394"/>
      <c r="O202" s="174"/>
      <c r="P202" s="196"/>
    </row>
    <row r="203" spans="1:23" s="192" customFormat="1" ht="25.5" customHeight="1">
      <c r="A203" s="174"/>
      <c r="B203" s="56"/>
      <c r="C203" s="56"/>
      <c r="D203" s="56"/>
      <c r="E203" s="56"/>
      <c r="F203" s="390"/>
      <c r="G203" s="391"/>
      <c r="H203" s="392"/>
      <c r="I203" s="392"/>
      <c r="J203" s="392"/>
      <c r="K203" s="393"/>
      <c r="L203" s="394"/>
      <c r="M203" s="394"/>
      <c r="N203" s="394"/>
      <c r="O203" s="174"/>
      <c r="P203" s="196"/>
    </row>
    <row r="204" spans="1:23" s="192" customFormat="1" ht="25.5" customHeight="1">
      <c r="A204" s="174"/>
      <c r="B204" s="56"/>
      <c r="C204" s="56"/>
      <c r="D204" s="56"/>
      <c r="E204" s="56"/>
      <c r="F204" s="390"/>
      <c r="G204" s="391"/>
      <c r="H204" s="392"/>
      <c r="I204" s="392"/>
      <c r="J204" s="392"/>
      <c r="K204" s="393"/>
      <c r="L204" s="394"/>
      <c r="M204" s="394"/>
      <c r="N204" s="394"/>
      <c r="O204" s="174"/>
      <c r="P204" s="196"/>
    </row>
    <row r="205" spans="1:23" s="192" customFormat="1" ht="25.5" customHeight="1">
      <c r="A205" s="174"/>
      <c r="B205" s="607" t="s">
        <v>42</v>
      </c>
      <c r="C205" s="607"/>
      <c r="D205" s="607"/>
      <c r="E205" s="607"/>
      <c r="F205" s="607"/>
      <c r="G205" s="607"/>
      <c r="H205" s="177"/>
      <c r="I205" s="174"/>
      <c r="J205" s="178"/>
      <c r="K205" s="178"/>
      <c r="L205" s="174"/>
      <c r="M205" s="179"/>
      <c r="N205" s="179"/>
      <c r="O205" s="174"/>
      <c r="P205" s="196"/>
    </row>
    <row r="206" spans="1:23" s="192" customFormat="1" ht="25.5" customHeight="1">
      <c r="A206" s="174"/>
      <c r="B206" s="607"/>
      <c r="C206" s="607"/>
      <c r="D206" s="607"/>
      <c r="E206" s="607"/>
      <c r="F206" s="607"/>
      <c r="G206" s="607"/>
      <c r="H206" s="177"/>
      <c r="I206" s="174"/>
      <c r="J206" s="178"/>
      <c r="K206" s="178"/>
      <c r="L206" s="174"/>
      <c r="M206" s="179"/>
      <c r="N206" s="179"/>
      <c r="O206" s="174"/>
      <c r="P206" s="196"/>
    </row>
    <row r="207" spans="1:23" s="192" customFormat="1" ht="25.5" customHeight="1">
      <c r="A207" s="174"/>
      <c r="B207" s="607"/>
      <c r="C207" s="607"/>
      <c r="D207" s="607"/>
      <c r="E207" s="607"/>
      <c r="F207" s="607"/>
      <c r="G207" s="607"/>
      <c r="H207" s="177"/>
      <c r="I207" s="174"/>
      <c r="J207" s="178"/>
      <c r="K207" s="178"/>
      <c r="L207" s="174"/>
      <c r="M207" s="179"/>
      <c r="N207" s="179"/>
      <c r="O207" s="174"/>
      <c r="P207" s="196"/>
    </row>
    <row r="208" spans="1:23" s="192" customFormat="1" ht="25.5" customHeight="1">
      <c r="A208" s="174"/>
      <c r="B208" s="622" t="s">
        <v>28</v>
      </c>
      <c r="C208" s="622"/>
      <c r="D208" s="622"/>
      <c r="E208" s="622"/>
      <c r="F208" s="622"/>
      <c r="G208" s="174"/>
      <c r="H208" s="177"/>
      <c r="I208" s="174"/>
      <c r="J208" s="178"/>
      <c r="K208" s="178"/>
      <c r="L208" s="174"/>
      <c r="M208" s="179"/>
      <c r="N208" s="179"/>
      <c r="O208" s="395"/>
      <c r="P208" s="204"/>
    </row>
    <row r="209" spans="1:23" s="192" customFormat="1" ht="25.5" customHeight="1">
      <c r="A209" s="174"/>
      <c r="B209" s="64"/>
      <c r="C209" s="64"/>
      <c r="D209" s="64"/>
      <c r="E209" s="64"/>
      <c r="F209" s="175"/>
      <c r="G209" s="174"/>
      <c r="H209" s="177"/>
      <c r="I209" s="174"/>
      <c r="J209" s="178"/>
      <c r="K209" s="178"/>
      <c r="L209" s="174"/>
      <c r="M209" s="179"/>
      <c r="N209" s="179"/>
      <c r="O209" s="395"/>
      <c r="P209" s="204"/>
    </row>
    <row r="210" spans="1:23" s="192" customFormat="1" ht="25.5" customHeight="1">
      <c r="A210" s="174"/>
      <c r="B210" s="70" t="s">
        <v>166</v>
      </c>
      <c r="C210" s="64"/>
      <c r="D210" s="64"/>
      <c r="E210" s="64"/>
      <c r="F210" s="175"/>
      <c r="G210" s="174"/>
      <c r="H210" s="177"/>
      <c r="I210" s="174"/>
      <c r="J210" s="178"/>
      <c r="K210" s="178"/>
      <c r="L210" s="174"/>
      <c r="M210" s="179"/>
      <c r="N210" s="179"/>
      <c r="O210" s="395"/>
      <c r="P210" s="204"/>
    </row>
    <row r="211" spans="1:23" s="192" customFormat="1" ht="25.5" customHeight="1">
      <c r="A211" s="174"/>
      <c r="B211" s="483" t="s">
        <v>1</v>
      </c>
      <c r="C211" s="64"/>
      <c r="D211" s="64"/>
      <c r="E211" s="64"/>
      <c r="F211" s="175"/>
      <c r="G211" s="174"/>
      <c r="H211" s="177"/>
      <c r="I211" s="174"/>
      <c r="J211" s="178"/>
      <c r="K211" s="178"/>
      <c r="L211" s="174"/>
      <c r="M211" s="179"/>
      <c r="N211" s="179"/>
      <c r="O211" s="395"/>
      <c r="P211" s="204"/>
    </row>
    <row r="212" spans="1:23" s="192" customFormat="1" ht="25.5" customHeight="1">
      <c r="A212" s="174"/>
      <c r="B212" s="71" t="s">
        <v>2</v>
      </c>
      <c r="C212" s="69"/>
      <c r="D212" s="69"/>
      <c r="E212" s="69"/>
      <c r="F212" s="396"/>
      <c r="G212" s="395"/>
      <c r="H212" s="397"/>
      <c r="I212" s="395"/>
      <c r="J212" s="398"/>
      <c r="K212" s="399"/>
      <c r="L212" s="395"/>
      <c r="M212" s="400"/>
      <c r="N212" s="400"/>
      <c r="O212" s="395"/>
      <c r="P212" s="204"/>
    </row>
    <row r="213" spans="1:23" s="267" customFormat="1" ht="25.5" customHeight="1">
      <c r="A213" s="401"/>
      <c r="B213" s="147"/>
      <c r="C213" s="147"/>
      <c r="D213" s="147"/>
      <c r="E213" s="147"/>
      <c r="F213" s="402"/>
      <c r="G213" s="395"/>
      <c r="H213" s="397"/>
      <c r="I213" s="395"/>
      <c r="J213" s="398"/>
      <c r="K213" s="399"/>
      <c r="L213" s="395"/>
      <c r="M213" s="400"/>
      <c r="N213" s="400"/>
      <c r="O213" s="401"/>
      <c r="P213" s="328"/>
      <c r="Q213" s="403"/>
      <c r="R213" s="295"/>
      <c r="S213" s="295"/>
      <c r="T213" s="295"/>
      <c r="U213" s="295"/>
      <c r="V213" s="295"/>
      <c r="W213" s="295"/>
    </row>
    <row r="214" spans="1:23" ht="25.5" customHeight="1">
      <c r="A214" s="404"/>
      <c r="B214" s="57" t="s">
        <v>41</v>
      </c>
      <c r="C214" s="58"/>
      <c r="D214" s="59"/>
      <c r="E214" s="58"/>
      <c r="F214" s="406"/>
      <c r="G214" s="406"/>
      <c r="H214" s="406"/>
      <c r="I214" s="406"/>
      <c r="J214" s="406"/>
      <c r="K214" s="405"/>
      <c r="L214" s="405"/>
      <c r="M214" s="406" t="s">
        <v>42</v>
      </c>
      <c r="N214" s="407"/>
      <c r="O214" s="408"/>
      <c r="P214" s="211"/>
      <c r="Q214" s="349"/>
    </row>
    <row r="215" spans="1:23" ht="25.5" customHeight="1">
      <c r="A215" s="404"/>
      <c r="B215" s="609" t="s">
        <v>43</v>
      </c>
      <c r="C215" s="609"/>
      <c r="D215" s="72"/>
      <c r="E215" s="73"/>
      <c r="F215" s="409"/>
      <c r="G215" s="410"/>
      <c r="H215" s="410"/>
      <c r="I215" s="410"/>
      <c r="J215" s="410"/>
      <c r="K215" s="411"/>
      <c r="L215" s="411"/>
      <c r="M215" s="412">
        <f>M69+M77+M60+M36+N84</f>
        <v>0</v>
      </c>
      <c r="N215" s="301"/>
      <c r="O215" s="404"/>
      <c r="P215" s="211"/>
      <c r="Q215" s="349"/>
    </row>
    <row r="216" spans="1:23" ht="25.5" customHeight="1">
      <c r="A216" s="404"/>
      <c r="B216" s="604" t="s">
        <v>44</v>
      </c>
      <c r="C216" s="604"/>
      <c r="D216" s="74"/>
      <c r="E216" s="75"/>
      <c r="F216" s="413"/>
      <c r="G216" s="414"/>
      <c r="H216" s="414"/>
      <c r="I216" s="414"/>
      <c r="J216" s="414"/>
      <c r="K216" s="415"/>
      <c r="L216" s="415"/>
      <c r="M216" s="416">
        <f>N105</f>
        <v>0</v>
      </c>
      <c r="N216" s="301"/>
      <c r="O216" s="404"/>
      <c r="P216" s="211"/>
      <c r="Q216" s="349"/>
    </row>
    <row r="217" spans="1:23" ht="25.5" customHeight="1">
      <c r="A217" s="404"/>
      <c r="B217" s="148" t="s">
        <v>45</v>
      </c>
      <c r="C217" s="148"/>
      <c r="D217" s="74"/>
      <c r="E217" s="75"/>
      <c r="F217" s="413"/>
      <c r="G217" s="414"/>
      <c r="H217" s="414"/>
      <c r="I217" s="414"/>
      <c r="J217" s="414"/>
      <c r="K217" s="415"/>
      <c r="L217" s="415"/>
      <c r="M217" s="416">
        <f>N120</f>
        <v>0</v>
      </c>
      <c r="N217" s="301"/>
      <c r="O217" s="404"/>
      <c r="P217" s="211"/>
      <c r="Q217" s="349"/>
    </row>
    <row r="218" spans="1:23" s="420" customFormat="1" ht="25.5" customHeight="1">
      <c r="A218" s="417"/>
      <c r="B218" s="605" t="s">
        <v>46</v>
      </c>
      <c r="C218" s="605"/>
      <c r="D218" s="35"/>
      <c r="E218" s="36"/>
      <c r="F218" s="346"/>
      <c r="G218" s="418"/>
      <c r="H218" s="418"/>
      <c r="I218" s="418"/>
      <c r="J218" s="418"/>
      <c r="K218" s="331"/>
      <c r="L218" s="331"/>
      <c r="M218" s="334">
        <f>N69+N77+N60+N36</f>
        <v>0</v>
      </c>
      <c r="N218" s="301"/>
      <c r="O218" s="417"/>
      <c r="P218" s="419"/>
    </row>
    <row r="219" spans="1:23" ht="25.5" customHeight="1">
      <c r="A219" s="404"/>
      <c r="B219" s="60" t="s">
        <v>20</v>
      </c>
      <c r="C219" s="61"/>
      <c r="D219" s="61"/>
      <c r="E219" s="61"/>
      <c r="F219" s="421"/>
      <c r="G219" s="422"/>
      <c r="H219" s="422"/>
      <c r="I219" s="422"/>
      <c r="J219" s="625">
        <f>SUM(M215:M218)</f>
        <v>0</v>
      </c>
      <c r="K219" s="625"/>
      <c r="L219" s="625"/>
      <c r="M219" s="625"/>
      <c r="N219" s="423"/>
      <c r="O219" s="404"/>
      <c r="P219" s="211"/>
    </row>
    <row r="220" spans="1:23" ht="25.5" customHeight="1">
      <c r="A220" s="404"/>
      <c r="B220" s="60"/>
      <c r="C220" s="61"/>
      <c r="D220" s="61"/>
      <c r="E220" s="61"/>
      <c r="F220" s="421"/>
      <c r="G220" s="422"/>
      <c r="H220" s="422"/>
      <c r="I220" s="422"/>
      <c r="J220" s="423"/>
      <c r="K220" s="423"/>
      <c r="L220" s="423"/>
      <c r="M220" s="423"/>
      <c r="N220" s="423"/>
      <c r="O220" s="404"/>
      <c r="P220" s="211"/>
    </row>
    <row r="221" spans="1:23" ht="25.5" customHeight="1">
      <c r="A221" s="404"/>
      <c r="B221" s="32"/>
      <c r="C221" s="32"/>
      <c r="D221" s="38"/>
      <c r="E221" s="39"/>
      <c r="F221" s="354"/>
      <c r="G221" s="356"/>
      <c r="H221" s="353"/>
      <c r="I221" s="299"/>
      <c r="J221" s="424"/>
      <c r="K221" s="299"/>
      <c r="L221" s="425"/>
      <c r="M221" s="301"/>
      <c r="N221" s="301"/>
      <c r="O221" s="404"/>
      <c r="P221" s="211"/>
    </row>
    <row r="222" spans="1:23" ht="25.5" customHeight="1">
      <c r="A222" s="426"/>
      <c r="B222" s="44"/>
      <c r="C222" s="44"/>
      <c r="D222" s="35"/>
      <c r="E222" s="36"/>
      <c r="F222" s="428"/>
      <c r="G222" s="418"/>
      <c r="H222" s="427"/>
      <c r="I222" s="331"/>
      <c r="J222" s="429"/>
      <c r="K222" s="331"/>
      <c r="L222" s="430"/>
      <c r="M222" s="334"/>
      <c r="N222" s="334"/>
      <c r="O222" s="431"/>
      <c r="P222" s="211"/>
    </row>
    <row r="223" spans="1:23" s="432" customFormat="1" ht="24" customHeight="1">
      <c r="B223" s="115"/>
      <c r="C223" s="115"/>
      <c r="D223" s="116"/>
      <c r="E223" s="117"/>
      <c r="F223" s="434"/>
      <c r="G223" s="435"/>
      <c r="H223" s="433"/>
      <c r="I223" s="436"/>
      <c r="J223" s="437"/>
      <c r="K223" s="436"/>
      <c r="L223" s="438"/>
      <c r="M223" s="439"/>
      <c r="N223" s="439"/>
      <c r="O223" s="440"/>
    </row>
    <row r="224" spans="1:23" s="432" customFormat="1" ht="24" customHeight="1">
      <c r="B224" s="115"/>
      <c r="C224" s="115"/>
      <c r="D224" s="115"/>
      <c r="E224" s="115"/>
      <c r="F224" s="441"/>
      <c r="G224" s="442"/>
      <c r="H224" s="443"/>
      <c r="I224" s="443"/>
      <c r="J224" s="443"/>
      <c r="K224" s="444"/>
      <c r="L224" s="439"/>
      <c r="M224" s="439"/>
      <c r="N224" s="439"/>
      <c r="O224" s="440"/>
    </row>
    <row r="225" spans="1:23" s="432" customFormat="1" ht="24" customHeight="1">
      <c r="B225" s="115"/>
      <c r="C225" s="115"/>
      <c r="D225" s="115"/>
      <c r="E225" s="115"/>
      <c r="F225" s="441"/>
      <c r="G225" s="442"/>
      <c r="H225" s="443"/>
      <c r="I225" s="443"/>
      <c r="J225" s="443"/>
      <c r="K225" s="444"/>
      <c r="L225" s="439"/>
      <c r="M225" s="439"/>
      <c r="N225" s="439"/>
      <c r="O225" s="440"/>
    </row>
    <row r="226" spans="1:23" s="432" customFormat="1" ht="24" customHeight="1">
      <c r="B226" s="115"/>
      <c r="C226" s="115"/>
      <c r="D226" s="115"/>
      <c r="E226" s="115"/>
      <c r="F226" s="441"/>
      <c r="G226" s="442"/>
      <c r="H226" s="443"/>
      <c r="I226" s="443"/>
      <c r="J226" s="443"/>
      <c r="K226" s="444"/>
      <c r="L226" s="439"/>
      <c r="M226" s="439"/>
      <c r="N226" s="439"/>
      <c r="O226" s="440"/>
    </row>
    <row r="227" spans="1:23" s="432" customFormat="1" ht="24" customHeight="1">
      <c r="B227" s="115"/>
      <c r="C227" s="115"/>
      <c r="D227" s="115"/>
      <c r="E227" s="115"/>
      <c r="F227" s="441"/>
      <c r="G227" s="442"/>
      <c r="H227" s="443"/>
      <c r="I227" s="443"/>
      <c r="J227" s="443"/>
      <c r="K227" s="444"/>
      <c r="L227" s="439"/>
      <c r="M227" s="439"/>
      <c r="N227" s="439"/>
      <c r="O227" s="440"/>
    </row>
    <row r="228" spans="1:23" s="432" customFormat="1" ht="24" customHeight="1">
      <c r="B228" s="115"/>
      <c r="C228" s="115"/>
      <c r="D228" s="115"/>
      <c r="E228" s="115"/>
      <c r="F228" s="441"/>
      <c r="G228" s="442"/>
      <c r="H228" s="443"/>
      <c r="I228" s="443"/>
      <c r="J228" s="443"/>
      <c r="K228" s="444"/>
      <c r="L228" s="439"/>
      <c r="M228" s="439"/>
      <c r="N228" s="439"/>
      <c r="O228" s="440"/>
    </row>
    <row r="229" spans="1:23" s="432" customFormat="1" ht="24" customHeight="1">
      <c r="B229" s="115"/>
      <c r="C229" s="115"/>
      <c r="D229" s="115"/>
      <c r="E229" s="115"/>
      <c r="F229" s="441"/>
      <c r="G229" s="442"/>
      <c r="H229" s="443"/>
      <c r="I229" s="443"/>
      <c r="J229" s="443"/>
      <c r="K229" s="444"/>
      <c r="L229" s="439"/>
      <c r="M229" s="439"/>
      <c r="N229" s="439"/>
      <c r="O229" s="440"/>
    </row>
    <row r="230" spans="1:23" s="432" customFormat="1" ht="24" customHeight="1">
      <c r="B230" s="115"/>
      <c r="C230" s="115"/>
      <c r="D230" s="115"/>
      <c r="E230" s="115"/>
      <c r="F230" s="441"/>
      <c r="G230" s="442"/>
      <c r="H230" s="443"/>
      <c r="I230" s="443"/>
      <c r="J230" s="443"/>
      <c r="K230" s="444"/>
      <c r="L230" s="439"/>
      <c r="M230" s="439"/>
      <c r="N230" s="439"/>
      <c r="O230" s="440"/>
    </row>
    <row r="231" spans="1:23" s="432" customFormat="1" ht="24" customHeight="1">
      <c r="B231" s="115"/>
      <c r="C231" s="115"/>
      <c r="D231" s="115"/>
      <c r="E231" s="115"/>
      <c r="F231" s="441"/>
      <c r="G231" s="442"/>
      <c r="H231" s="443"/>
      <c r="I231" s="443"/>
      <c r="J231" s="443"/>
      <c r="K231" s="444"/>
      <c r="L231" s="439"/>
      <c r="M231" s="439"/>
      <c r="N231" s="439"/>
      <c r="O231" s="440"/>
    </row>
    <row r="232" spans="1:23" s="432" customFormat="1" ht="24" customHeight="1">
      <c r="B232" s="115"/>
      <c r="C232" s="115"/>
      <c r="D232" s="115"/>
      <c r="E232" s="115"/>
      <c r="F232" s="441"/>
      <c r="G232" s="442"/>
      <c r="H232" s="443"/>
      <c r="I232" s="443"/>
      <c r="J232" s="443"/>
      <c r="K232" s="444"/>
      <c r="L232" s="439"/>
      <c r="M232" s="439"/>
      <c r="N232" s="439"/>
      <c r="O232" s="440"/>
    </row>
    <row r="233" spans="1:23" s="445" customFormat="1" ht="24" customHeight="1">
      <c r="A233" s="432"/>
      <c r="B233" s="115"/>
      <c r="C233" s="115"/>
      <c r="D233" s="115"/>
      <c r="E233" s="115"/>
      <c r="F233" s="441"/>
      <c r="G233" s="442"/>
      <c r="H233" s="443"/>
      <c r="I233" s="443"/>
      <c r="J233" s="443"/>
      <c r="K233" s="444"/>
      <c r="L233" s="439"/>
      <c r="M233" s="439"/>
      <c r="N233" s="439"/>
      <c r="O233" s="440"/>
      <c r="P233" s="432"/>
      <c r="Q233" s="432"/>
      <c r="R233" s="432"/>
      <c r="S233" s="432"/>
      <c r="T233" s="432"/>
      <c r="U233" s="432"/>
      <c r="V233" s="432"/>
      <c r="W233" s="432"/>
    </row>
    <row r="234" spans="1:23" s="432" customFormat="1" ht="24" customHeight="1">
      <c r="B234" s="115"/>
      <c r="C234" s="115"/>
      <c r="D234" s="115"/>
      <c r="E234" s="115"/>
      <c r="F234" s="441"/>
      <c r="G234" s="442"/>
      <c r="H234" s="443"/>
      <c r="I234" s="443"/>
      <c r="J234" s="443"/>
      <c r="K234" s="444"/>
      <c r="L234" s="439"/>
      <c r="M234" s="439"/>
      <c r="N234" s="439"/>
      <c r="O234" s="440"/>
    </row>
    <row r="235" spans="1:23" s="432" customFormat="1" ht="24" customHeight="1">
      <c r="B235" s="115"/>
      <c r="C235" s="115"/>
      <c r="D235" s="115"/>
      <c r="E235" s="115"/>
      <c r="F235" s="441"/>
      <c r="G235" s="442"/>
      <c r="H235" s="443"/>
      <c r="I235" s="443"/>
      <c r="J235" s="443"/>
      <c r="K235" s="444"/>
      <c r="L235" s="439"/>
      <c r="M235" s="439"/>
      <c r="N235" s="439"/>
      <c r="O235" s="440"/>
    </row>
    <row r="236" spans="1:23" s="432" customFormat="1" ht="24" customHeight="1">
      <c r="B236" s="115"/>
      <c r="C236" s="115"/>
      <c r="D236" s="115"/>
      <c r="E236" s="115"/>
      <c r="F236" s="441"/>
      <c r="G236" s="442"/>
      <c r="H236" s="443"/>
      <c r="I236" s="443"/>
      <c r="J236" s="443"/>
      <c r="K236" s="444"/>
      <c r="L236" s="439"/>
      <c r="M236" s="439"/>
      <c r="N236" s="439"/>
      <c r="O236" s="440"/>
    </row>
    <row r="237" spans="1:23" s="432" customFormat="1" ht="24" customHeight="1">
      <c r="B237" s="115"/>
      <c r="C237" s="115"/>
      <c r="D237" s="115"/>
      <c r="E237" s="115"/>
      <c r="F237" s="441"/>
      <c r="G237" s="442"/>
      <c r="H237" s="443"/>
      <c r="I237" s="443"/>
      <c r="J237" s="443"/>
      <c r="K237" s="444"/>
      <c r="L237" s="439"/>
      <c r="M237" s="439"/>
      <c r="N237" s="439"/>
      <c r="O237" s="440"/>
    </row>
    <row r="238" spans="1:23" s="432" customFormat="1" ht="24" customHeight="1">
      <c r="B238" s="115"/>
      <c r="C238" s="115"/>
      <c r="D238" s="115"/>
      <c r="E238" s="115"/>
      <c r="F238" s="441"/>
      <c r="G238" s="442"/>
      <c r="H238" s="443"/>
      <c r="I238" s="443"/>
      <c r="J238" s="443"/>
      <c r="K238" s="444"/>
      <c r="L238" s="439"/>
      <c r="M238" s="439"/>
      <c r="N238" s="439"/>
      <c r="O238" s="440"/>
    </row>
    <row r="239" spans="1:23" s="432" customFormat="1" ht="24" customHeight="1">
      <c r="B239" s="115"/>
      <c r="C239" s="115"/>
      <c r="D239" s="115"/>
      <c r="E239" s="115"/>
      <c r="F239" s="441"/>
      <c r="G239" s="442"/>
      <c r="H239" s="443"/>
      <c r="I239" s="443"/>
      <c r="J239" s="443"/>
      <c r="K239" s="444"/>
      <c r="L239" s="439"/>
      <c r="M239" s="439"/>
      <c r="N239" s="439"/>
      <c r="O239" s="440"/>
    </row>
    <row r="240" spans="1:23" s="432" customFormat="1" ht="24" customHeight="1">
      <c r="B240" s="115"/>
      <c r="C240" s="115"/>
      <c r="D240" s="115"/>
      <c r="E240" s="115"/>
      <c r="F240" s="441"/>
      <c r="G240" s="442"/>
      <c r="H240" s="443"/>
      <c r="I240" s="443"/>
      <c r="J240" s="443"/>
      <c r="K240" s="444"/>
      <c r="L240" s="439"/>
      <c r="M240" s="439"/>
      <c r="N240" s="439"/>
      <c r="O240" s="440"/>
    </row>
    <row r="241" spans="2:15" s="432" customFormat="1" ht="24" customHeight="1">
      <c r="B241" s="115"/>
      <c r="C241" s="115"/>
      <c r="D241" s="115"/>
      <c r="E241" s="115"/>
      <c r="F241" s="441"/>
      <c r="G241" s="442"/>
      <c r="H241" s="443"/>
      <c r="I241" s="443"/>
      <c r="J241" s="443"/>
      <c r="K241" s="444"/>
      <c r="L241" s="439"/>
      <c r="M241" s="439"/>
      <c r="N241" s="439"/>
      <c r="O241" s="440"/>
    </row>
    <row r="242" spans="2:15" s="432" customFormat="1" ht="24" customHeight="1">
      <c r="B242" s="115"/>
      <c r="C242" s="115"/>
      <c r="D242" s="115"/>
      <c r="E242" s="115"/>
      <c r="F242" s="441"/>
      <c r="G242" s="442"/>
      <c r="H242" s="443"/>
      <c r="I242" s="443"/>
      <c r="J242" s="443"/>
      <c r="K242" s="444"/>
      <c r="L242" s="439"/>
      <c r="M242" s="439"/>
      <c r="N242" s="439"/>
      <c r="O242" s="440"/>
    </row>
    <row r="243" spans="2:15" s="432" customFormat="1" ht="24" customHeight="1">
      <c r="B243" s="115"/>
      <c r="C243" s="115"/>
      <c r="D243" s="115"/>
      <c r="E243" s="115"/>
      <c r="F243" s="441"/>
      <c r="G243" s="442"/>
      <c r="H243" s="443"/>
      <c r="I243" s="443"/>
      <c r="J243" s="443"/>
      <c r="K243" s="444"/>
      <c r="L243" s="439"/>
      <c r="M243" s="439"/>
      <c r="N243" s="439"/>
      <c r="O243" s="440"/>
    </row>
    <row r="244" spans="2:15" s="432" customFormat="1" ht="24" customHeight="1">
      <c r="B244" s="115"/>
      <c r="C244" s="115"/>
      <c r="D244" s="115"/>
      <c r="E244" s="115"/>
      <c r="F244" s="441"/>
      <c r="G244" s="442"/>
      <c r="H244" s="443"/>
      <c r="I244" s="443"/>
      <c r="J244" s="443"/>
      <c r="K244" s="444"/>
      <c r="L244" s="439"/>
      <c r="M244" s="439"/>
      <c r="N244" s="439"/>
      <c r="O244" s="440"/>
    </row>
    <row r="245" spans="2:15" s="432" customFormat="1" ht="24" customHeight="1">
      <c r="B245" s="115"/>
      <c r="C245" s="115"/>
      <c r="D245" s="115"/>
      <c r="E245" s="115"/>
      <c r="F245" s="441"/>
      <c r="G245" s="442"/>
      <c r="H245" s="443"/>
      <c r="I245" s="443"/>
      <c r="J245" s="443"/>
      <c r="K245" s="444"/>
      <c r="L245" s="439"/>
      <c r="M245" s="439"/>
      <c r="N245" s="439"/>
      <c r="O245" s="440"/>
    </row>
    <row r="246" spans="2:15" s="432" customFormat="1" ht="24" customHeight="1">
      <c r="B246" s="115"/>
      <c r="C246" s="115"/>
      <c r="D246" s="115"/>
      <c r="E246" s="115"/>
      <c r="F246" s="441"/>
      <c r="G246" s="442"/>
      <c r="H246" s="443"/>
      <c r="I246" s="443"/>
      <c r="J246" s="443"/>
      <c r="K246" s="444"/>
      <c r="L246" s="439"/>
      <c r="M246" s="439"/>
      <c r="N246" s="439"/>
      <c r="O246" s="440"/>
    </row>
    <row r="247" spans="2:15" s="432" customFormat="1" ht="24" customHeight="1">
      <c r="B247" s="115"/>
      <c r="C247" s="115"/>
      <c r="D247" s="115"/>
      <c r="E247" s="115"/>
      <c r="F247" s="441"/>
      <c r="G247" s="442"/>
      <c r="H247" s="443"/>
      <c r="I247" s="443"/>
      <c r="J247" s="443"/>
      <c r="K247" s="444"/>
      <c r="L247" s="439"/>
      <c r="M247" s="439"/>
      <c r="N247" s="439"/>
      <c r="O247" s="440"/>
    </row>
    <row r="248" spans="2:15" s="432" customFormat="1" ht="25.5" customHeight="1">
      <c r="B248" s="115"/>
      <c r="C248" s="115"/>
      <c r="D248" s="115"/>
      <c r="E248" s="115"/>
      <c r="F248" s="441"/>
      <c r="G248" s="442"/>
      <c r="H248" s="443"/>
      <c r="I248" s="443"/>
      <c r="J248" s="443"/>
      <c r="K248" s="444"/>
      <c r="L248" s="439"/>
      <c r="M248" s="439"/>
      <c r="N248" s="439"/>
      <c r="O248" s="440"/>
    </row>
    <row r="249" spans="2:15" s="432" customFormat="1" ht="25.5" customHeight="1">
      <c r="B249" s="115"/>
      <c r="C249" s="115"/>
      <c r="D249" s="115"/>
      <c r="E249" s="115"/>
      <c r="F249" s="441"/>
      <c r="G249" s="442"/>
      <c r="H249" s="443"/>
      <c r="I249" s="443"/>
      <c r="J249" s="443"/>
      <c r="K249" s="444"/>
      <c r="L249" s="439"/>
      <c r="M249" s="439"/>
      <c r="N249" s="439"/>
      <c r="O249" s="440"/>
    </row>
    <row r="250" spans="2:15" s="432" customFormat="1" ht="25.5" customHeight="1">
      <c r="B250" s="115"/>
      <c r="C250" s="115"/>
      <c r="D250" s="115"/>
      <c r="E250" s="115"/>
      <c r="F250" s="441"/>
      <c r="G250" s="442"/>
      <c r="H250" s="443"/>
      <c r="I250" s="443"/>
      <c r="J250" s="443"/>
      <c r="K250" s="444"/>
      <c r="L250" s="439"/>
      <c r="M250" s="439"/>
      <c r="N250" s="439"/>
      <c r="O250" s="440"/>
    </row>
    <row r="251" spans="2:15" s="432" customFormat="1" ht="25.5" customHeight="1">
      <c r="B251" s="115"/>
      <c r="C251" s="115"/>
      <c r="D251" s="115"/>
      <c r="E251" s="115"/>
      <c r="F251" s="441"/>
      <c r="G251" s="442"/>
      <c r="H251" s="443"/>
      <c r="I251" s="443"/>
      <c r="J251" s="443"/>
      <c r="K251" s="444"/>
      <c r="L251" s="439"/>
      <c r="M251" s="439"/>
      <c r="N251" s="439"/>
      <c r="O251" s="440"/>
    </row>
    <row r="252" spans="2:15" s="432" customFormat="1" ht="25.5" customHeight="1">
      <c r="B252" s="115"/>
      <c r="C252" s="115"/>
      <c r="D252" s="115"/>
      <c r="E252" s="115"/>
      <c r="F252" s="441"/>
      <c r="G252" s="442"/>
      <c r="H252" s="443"/>
      <c r="I252" s="443"/>
      <c r="J252" s="443"/>
      <c r="K252" s="444"/>
      <c r="L252" s="439"/>
      <c r="M252" s="439"/>
      <c r="N252" s="439"/>
      <c r="O252" s="440"/>
    </row>
    <row r="253" spans="2:15" s="432" customFormat="1" ht="25.5" customHeight="1">
      <c r="B253" s="121"/>
      <c r="C253" s="119"/>
      <c r="D253" s="119"/>
      <c r="E253" s="119"/>
      <c r="K253" s="446"/>
      <c r="M253" s="447"/>
      <c r="O253" s="440"/>
    </row>
    <row r="254" spans="2:15" s="432" customFormat="1" ht="25.5" customHeight="1">
      <c r="B254" s="121"/>
      <c r="C254" s="119"/>
      <c r="D254" s="119"/>
      <c r="E254" s="119"/>
      <c r="K254" s="446"/>
      <c r="M254" s="447"/>
      <c r="O254" s="440"/>
    </row>
    <row r="255" spans="2:15" s="432" customFormat="1" ht="25.5" customHeight="1">
      <c r="B255" s="121"/>
      <c r="C255" s="119"/>
      <c r="D255" s="119"/>
      <c r="E255" s="119"/>
      <c r="K255" s="446"/>
      <c r="M255" s="447"/>
      <c r="O255" s="440"/>
    </row>
    <row r="256" spans="2:15" s="432" customFormat="1" ht="25.5" customHeight="1">
      <c r="B256" s="121"/>
      <c r="C256" s="119"/>
      <c r="D256" s="119"/>
      <c r="E256" s="119"/>
      <c r="K256" s="446"/>
      <c r="M256" s="447"/>
      <c r="O256" s="440"/>
    </row>
    <row r="257" spans="2:15" s="432" customFormat="1" ht="25.5" customHeight="1">
      <c r="B257" s="121"/>
      <c r="C257" s="119"/>
      <c r="D257" s="119"/>
      <c r="E257" s="119"/>
      <c r="K257" s="446"/>
      <c r="M257" s="447"/>
      <c r="O257" s="440"/>
    </row>
    <row r="258" spans="2:15" s="432" customFormat="1" ht="25.5" customHeight="1">
      <c r="B258" s="121"/>
      <c r="C258" s="119"/>
      <c r="D258" s="119"/>
      <c r="E258" s="119"/>
      <c r="K258" s="446"/>
      <c r="M258" s="447"/>
      <c r="O258" s="440"/>
    </row>
    <row r="259" spans="2:15" s="432" customFormat="1" ht="25.5" customHeight="1">
      <c r="B259" s="121"/>
      <c r="C259" s="119"/>
      <c r="D259" s="119"/>
      <c r="E259" s="119"/>
      <c r="K259" s="446"/>
      <c r="M259" s="447"/>
      <c r="O259" s="440"/>
    </row>
    <row r="260" spans="2:15" s="432" customFormat="1" ht="25.5" customHeight="1">
      <c r="B260" s="121"/>
      <c r="C260" s="119"/>
      <c r="D260" s="119"/>
      <c r="E260" s="119"/>
      <c r="K260" s="446"/>
      <c r="M260" s="447"/>
      <c r="O260" s="440"/>
    </row>
    <row r="261" spans="2:15" s="432" customFormat="1" ht="25.5" customHeight="1">
      <c r="B261" s="121"/>
      <c r="C261" s="119"/>
      <c r="D261" s="119"/>
      <c r="E261" s="119"/>
      <c r="K261" s="446"/>
      <c r="M261" s="447"/>
      <c r="O261" s="440"/>
    </row>
    <row r="262" spans="2:15" s="432" customFormat="1" ht="25.5" customHeight="1">
      <c r="B262" s="121"/>
      <c r="C262" s="119"/>
      <c r="D262" s="119"/>
      <c r="E262" s="119"/>
      <c r="K262" s="446"/>
      <c r="M262" s="447"/>
      <c r="O262" s="440"/>
    </row>
    <row r="263" spans="2:15" s="432" customFormat="1" ht="25.5" customHeight="1">
      <c r="B263" s="121"/>
      <c r="C263" s="119"/>
      <c r="D263" s="119"/>
      <c r="E263" s="119"/>
      <c r="K263" s="446"/>
      <c r="M263" s="447"/>
      <c r="O263" s="440"/>
    </row>
    <row r="264" spans="2:15" s="432" customFormat="1" ht="25.5" customHeight="1">
      <c r="B264" s="121"/>
      <c r="C264" s="119"/>
      <c r="D264" s="119"/>
      <c r="E264" s="119"/>
      <c r="K264" s="446"/>
      <c r="M264" s="447"/>
      <c r="O264" s="440"/>
    </row>
    <row r="265" spans="2:15" s="432" customFormat="1" ht="25.5" customHeight="1">
      <c r="B265" s="121"/>
      <c r="C265" s="119"/>
      <c r="D265" s="119"/>
      <c r="E265" s="119"/>
      <c r="K265" s="446"/>
      <c r="M265" s="447"/>
      <c r="O265" s="440"/>
    </row>
    <row r="266" spans="2:15" s="432" customFormat="1" ht="25.5" customHeight="1">
      <c r="B266" s="121"/>
      <c r="C266" s="119"/>
      <c r="D266" s="119"/>
      <c r="E266" s="119"/>
      <c r="K266" s="446"/>
      <c r="M266" s="447"/>
      <c r="O266" s="440"/>
    </row>
    <row r="267" spans="2:15" s="432" customFormat="1" ht="25.5" customHeight="1">
      <c r="B267" s="121"/>
      <c r="C267" s="119"/>
      <c r="D267" s="119"/>
      <c r="E267" s="119"/>
      <c r="K267" s="446"/>
      <c r="M267" s="447"/>
      <c r="O267" s="440"/>
    </row>
    <row r="268" spans="2:15" s="432" customFormat="1" ht="25.5" customHeight="1">
      <c r="B268" s="121"/>
      <c r="C268" s="119"/>
      <c r="D268" s="119"/>
      <c r="E268" s="119"/>
      <c r="K268" s="446"/>
      <c r="M268" s="447"/>
      <c r="O268" s="440"/>
    </row>
    <row r="269" spans="2:15" s="432" customFormat="1" ht="25.5" customHeight="1">
      <c r="B269" s="121"/>
      <c r="C269" s="119"/>
      <c r="D269" s="119"/>
      <c r="E269" s="119"/>
      <c r="K269" s="446"/>
      <c r="M269" s="447"/>
      <c r="O269" s="440"/>
    </row>
    <row r="270" spans="2:15" s="432" customFormat="1" ht="25.5" customHeight="1">
      <c r="B270" s="121"/>
      <c r="C270" s="119"/>
      <c r="D270" s="119"/>
      <c r="E270" s="119"/>
      <c r="K270" s="446"/>
      <c r="M270" s="447"/>
      <c r="O270" s="440"/>
    </row>
    <row r="271" spans="2:15" s="432" customFormat="1" ht="25.5" customHeight="1">
      <c r="B271" s="121"/>
      <c r="C271" s="119"/>
      <c r="D271" s="119"/>
      <c r="E271" s="119"/>
      <c r="K271" s="446"/>
      <c r="M271" s="447"/>
      <c r="O271" s="440"/>
    </row>
    <row r="272" spans="2:15" s="432" customFormat="1" ht="25.5" customHeight="1">
      <c r="B272" s="121"/>
      <c r="C272" s="119"/>
      <c r="D272" s="119"/>
      <c r="E272" s="119"/>
      <c r="K272" s="446"/>
      <c r="M272" s="447"/>
      <c r="O272" s="440"/>
    </row>
    <row r="273" spans="2:15" s="432" customFormat="1" ht="25.5" customHeight="1">
      <c r="B273" s="121"/>
      <c r="C273" s="119"/>
      <c r="D273" s="119"/>
      <c r="E273" s="119"/>
      <c r="K273" s="446"/>
      <c r="M273" s="447"/>
      <c r="O273" s="440"/>
    </row>
    <row r="274" spans="2:15" s="432" customFormat="1" ht="25.5" customHeight="1">
      <c r="B274" s="121"/>
      <c r="C274" s="119"/>
      <c r="D274" s="119"/>
      <c r="E274" s="119"/>
      <c r="K274" s="446"/>
      <c r="M274" s="447"/>
      <c r="O274" s="440"/>
    </row>
    <row r="275" spans="2:15" s="432" customFormat="1" ht="25.5" customHeight="1">
      <c r="B275" s="121"/>
      <c r="C275" s="119"/>
      <c r="D275" s="119"/>
      <c r="E275" s="119"/>
      <c r="K275" s="446"/>
      <c r="M275" s="447"/>
      <c r="O275" s="440"/>
    </row>
    <row r="276" spans="2:15" s="432" customFormat="1" ht="25.5" customHeight="1">
      <c r="B276" s="121"/>
      <c r="C276" s="119"/>
      <c r="D276" s="119"/>
      <c r="E276" s="119"/>
      <c r="K276" s="446"/>
      <c r="M276" s="447"/>
      <c r="O276" s="440"/>
    </row>
    <row r="277" spans="2:15" s="432" customFormat="1" ht="25.5" customHeight="1">
      <c r="B277" s="121"/>
      <c r="C277" s="119"/>
      <c r="D277" s="119"/>
      <c r="E277" s="119"/>
      <c r="K277" s="446"/>
      <c r="M277" s="447"/>
      <c r="O277" s="440"/>
    </row>
    <row r="278" spans="2:15" s="432" customFormat="1" ht="25.5" customHeight="1">
      <c r="B278" s="121"/>
      <c r="C278" s="119"/>
      <c r="D278" s="119"/>
      <c r="E278" s="119"/>
      <c r="K278" s="446"/>
      <c r="M278" s="447"/>
      <c r="O278" s="440"/>
    </row>
    <row r="279" spans="2:15" s="432" customFormat="1" ht="25.5" customHeight="1">
      <c r="B279" s="121"/>
      <c r="C279" s="119"/>
      <c r="D279" s="119"/>
      <c r="E279" s="119"/>
      <c r="K279" s="446"/>
      <c r="M279" s="447"/>
      <c r="O279" s="440"/>
    </row>
    <row r="280" spans="2:15" s="432" customFormat="1" ht="25.5" customHeight="1">
      <c r="B280" s="121"/>
      <c r="C280" s="119"/>
      <c r="D280" s="119"/>
      <c r="E280" s="119"/>
      <c r="K280" s="446"/>
      <c r="M280" s="447"/>
      <c r="O280" s="440"/>
    </row>
    <row r="281" spans="2:15" s="432" customFormat="1" ht="25.5" customHeight="1">
      <c r="B281" s="121"/>
      <c r="C281" s="119"/>
      <c r="D281" s="119"/>
      <c r="E281" s="119"/>
      <c r="K281" s="446"/>
      <c r="M281" s="447"/>
      <c r="O281" s="440"/>
    </row>
    <row r="282" spans="2:15" s="432" customFormat="1" ht="25.5" customHeight="1">
      <c r="B282" s="121"/>
      <c r="C282" s="119"/>
      <c r="D282" s="119"/>
      <c r="E282" s="119"/>
      <c r="K282" s="446"/>
      <c r="M282" s="447"/>
      <c r="O282" s="440"/>
    </row>
    <row r="283" spans="2:15" s="432" customFormat="1" ht="25.5" customHeight="1">
      <c r="B283" s="121"/>
      <c r="C283" s="119"/>
      <c r="D283" s="119"/>
      <c r="E283" s="119"/>
      <c r="K283" s="446"/>
      <c r="M283" s="447"/>
      <c r="O283" s="440"/>
    </row>
    <row r="284" spans="2:15" s="432" customFormat="1" ht="25.5" customHeight="1">
      <c r="B284" s="121"/>
      <c r="C284" s="119"/>
      <c r="D284" s="119"/>
      <c r="E284" s="119"/>
      <c r="K284" s="446"/>
      <c r="M284" s="447"/>
      <c r="O284" s="440"/>
    </row>
    <row r="285" spans="2:15" s="432" customFormat="1" ht="25.5" customHeight="1">
      <c r="B285" s="121"/>
      <c r="C285" s="119"/>
      <c r="D285" s="119"/>
      <c r="E285" s="119"/>
      <c r="K285" s="446"/>
      <c r="M285" s="447"/>
      <c r="O285" s="440"/>
    </row>
    <row r="286" spans="2:15" s="432" customFormat="1" ht="25.5" customHeight="1">
      <c r="B286" s="121"/>
      <c r="C286" s="119"/>
      <c r="D286" s="119"/>
      <c r="E286" s="119"/>
      <c r="K286" s="446"/>
      <c r="M286" s="447"/>
      <c r="O286" s="440"/>
    </row>
    <row r="287" spans="2:15" s="432" customFormat="1" ht="25.5" customHeight="1">
      <c r="B287" s="121"/>
      <c r="C287" s="119"/>
      <c r="D287" s="119"/>
      <c r="E287" s="119"/>
      <c r="K287" s="446"/>
      <c r="M287" s="447"/>
      <c r="O287" s="440"/>
    </row>
    <row r="288" spans="2:15" s="432" customFormat="1" ht="25.5" customHeight="1">
      <c r="B288" s="121"/>
      <c r="C288" s="119"/>
      <c r="D288" s="119"/>
      <c r="E288" s="119"/>
      <c r="K288" s="446"/>
      <c r="M288" s="447"/>
      <c r="O288" s="440"/>
    </row>
    <row r="289" spans="2:15" s="432" customFormat="1" ht="25.5" customHeight="1">
      <c r="B289" s="121"/>
      <c r="C289" s="119"/>
      <c r="D289" s="119"/>
      <c r="E289" s="119"/>
      <c r="K289" s="446"/>
      <c r="M289" s="447"/>
      <c r="O289" s="440"/>
    </row>
    <row r="290" spans="2:15" s="432" customFormat="1" ht="25.5" customHeight="1">
      <c r="B290" s="121"/>
      <c r="C290" s="119"/>
      <c r="D290" s="119"/>
      <c r="E290" s="119"/>
      <c r="K290" s="446"/>
      <c r="M290" s="447"/>
      <c r="O290" s="440"/>
    </row>
    <row r="291" spans="2:15" s="432" customFormat="1" ht="25.5" customHeight="1">
      <c r="B291" s="121"/>
      <c r="C291" s="119"/>
      <c r="D291" s="119"/>
      <c r="E291" s="119"/>
      <c r="K291" s="446"/>
      <c r="M291" s="447"/>
      <c r="O291" s="440"/>
    </row>
    <row r="292" spans="2:15" s="432" customFormat="1" ht="25.5" customHeight="1">
      <c r="B292" s="121"/>
      <c r="C292" s="119"/>
      <c r="D292" s="119"/>
      <c r="E292" s="119"/>
      <c r="K292" s="446"/>
      <c r="M292" s="447"/>
      <c r="O292" s="440"/>
    </row>
    <row r="293" spans="2:15" s="432" customFormat="1" ht="25.5" customHeight="1">
      <c r="B293" s="121"/>
      <c r="C293" s="119"/>
      <c r="D293" s="119"/>
      <c r="E293" s="119"/>
      <c r="K293" s="446"/>
      <c r="M293" s="447"/>
      <c r="O293" s="440"/>
    </row>
    <row r="294" spans="2:15" s="432" customFormat="1" ht="25.5" customHeight="1">
      <c r="B294" s="121"/>
      <c r="C294" s="119"/>
      <c r="D294" s="119"/>
      <c r="E294" s="119"/>
      <c r="K294" s="446"/>
      <c r="M294" s="447"/>
      <c r="O294" s="440"/>
    </row>
    <row r="295" spans="2:15" s="432" customFormat="1" ht="25.5" customHeight="1">
      <c r="B295" s="121"/>
      <c r="C295" s="119"/>
      <c r="D295" s="119"/>
      <c r="E295" s="119"/>
      <c r="K295" s="446"/>
      <c r="M295" s="447"/>
      <c r="O295" s="440"/>
    </row>
    <row r="296" spans="2:15" s="432" customFormat="1" ht="25.5" customHeight="1">
      <c r="B296" s="121"/>
      <c r="C296" s="119"/>
      <c r="D296" s="119"/>
      <c r="E296" s="119"/>
      <c r="K296" s="446"/>
      <c r="M296" s="447"/>
      <c r="O296" s="440"/>
    </row>
    <row r="297" spans="2:15" s="432" customFormat="1" ht="25.5" customHeight="1">
      <c r="B297" s="121"/>
      <c r="C297" s="119"/>
      <c r="D297" s="119"/>
      <c r="E297" s="119"/>
      <c r="K297" s="446"/>
      <c r="M297" s="447"/>
      <c r="O297" s="440"/>
    </row>
    <row r="298" spans="2:15" s="432" customFormat="1" ht="25.5" customHeight="1">
      <c r="B298" s="121"/>
      <c r="C298" s="119"/>
      <c r="D298" s="119"/>
      <c r="E298" s="119"/>
      <c r="K298" s="446"/>
      <c r="M298" s="447"/>
      <c r="O298" s="440"/>
    </row>
    <row r="299" spans="2:15" s="432" customFormat="1" ht="25.5" customHeight="1">
      <c r="B299" s="121"/>
      <c r="C299" s="119"/>
      <c r="D299" s="119"/>
      <c r="E299" s="119"/>
      <c r="K299" s="446"/>
      <c r="M299" s="447"/>
      <c r="O299" s="440"/>
    </row>
    <row r="300" spans="2:15" s="432" customFormat="1" ht="25.5" customHeight="1">
      <c r="B300" s="121"/>
      <c r="C300" s="119"/>
      <c r="D300" s="119"/>
      <c r="E300" s="119"/>
      <c r="K300" s="446"/>
      <c r="M300" s="447"/>
      <c r="O300" s="440"/>
    </row>
    <row r="301" spans="2:15" s="432" customFormat="1" ht="25.5" customHeight="1">
      <c r="B301" s="118"/>
      <c r="C301" s="120"/>
      <c r="D301" s="120"/>
      <c r="E301" s="120"/>
      <c r="F301" s="440"/>
      <c r="G301" s="440"/>
      <c r="H301" s="440"/>
      <c r="I301" s="440"/>
      <c r="J301" s="440"/>
      <c r="K301" s="444"/>
      <c r="L301" s="440"/>
      <c r="M301" s="448"/>
      <c r="O301" s="440"/>
    </row>
    <row r="302" spans="2:15" s="432" customFormat="1" ht="25.5" customHeight="1">
      <c r="B302" s="121"/>
      <c r="C302" s="119"/>
      <c r="D302" s="119"/>
      <c r="E302" s="119"/>
      <c r="K302" s="446"/>
      <c r="M302" s="447"/>
      <c r="O302" s="440"/>
    </row>
    <row r="303" spans="2:15" s="432" customFormat="1" ht="25.5" customHeight="1">
      <c r="B303" s="121"/>
      <c r="C303" s="119"/>
      <c r="D303" s="119"/>
      <c r="E303" s="119"/>
      <c r="K303" s="446"/>
      <c r="M303" s="447"/>
      <c r="O303" s="440"/>
    </row>
    <row r="304" spans="2:15" s="173" customFormat="1" ht="25.5" customHeight="1">
      <c r="B304" s="122"/>
      <c r="C304" s="1"/>
      <c r="D304" s="1"/>
      <c r="E304" s="1"/>
      <c r="K304" s="209"/>
      <c r="M304" s="364"/>
      <c r="O304" s="449"/>
    </row>
    <row r="305" spans="2:15" s="173" customFormat="1" ht="25.5" customHeight="1">
      <c r="B305" s="122"/>
      <c r="C305" s="1"/>
      <c r="D305" s="1"/>
      <c r="E305" s="1"/>
      <c r="K305" s="209"/>
      <c r="M305" s="364"/>
      <c r="O305" s="449"/>
    </row>
    <row r="306" spans="2:15" s="173" customFormat="1" ht="25.5" customHeight="1">
      <c r="B306" s="122"/>
      <c r="C306" s="1"/>
      <c r="D306" s="1"/>
      <c r="E306" s="1"/>
      <c r="K306" s="209"/>
      <c r="M306" s="364"/>
      <c r="O306" s="449"/>
    </row>
    <row r="307" spans="2:15" s="173" customFormat="1" ht="25.5" customHeight="1">
      <c r="B307" s="122"/>
      <c r="C307" s="1"/>
      <c r="D307" s="1"/>
      <c r="E307" s="1"/>
      <c r="K307" s="209"/>
      <c r="M307" s="364"/>
      <c r="O307" s="449"/>
    </row>
    <row r="308" spans="2:15" s="173" customFormat="1" ht="25.5" customHeight="1">
      <c r="B308" s="122"/>
      <c r="C308" s="1"/>
      <c r="D308" s="1"/>
      <c r="E308" s="1"/>
      <c r="K308" s="209"/>
      <c r="M308" s="364"/>
      <c r="O308" s="449"/>
    </row>
    <row r="309" spans="2:15" s="173" customFormat="1" ht="25.5" customHeight="1">
      <c r="B309" s="122"/>
      <c r="C309" s="1"/>
      <c r="D309" s="1"/>
      <c r="E309" s="1"/>
      <c r="K309" s="209"/>
      <c r="M309" s="364"/>
      <c r="O309" s="449"/>
    </row>
    <row r="310" spans="2:15" s="173" customFormat="1" ht="25.5" customHeight="1">
      <c r="B310" s="122"/>
      <c r="C310" s="1"/>
      <c r="D310" s="1"/>
      <c r="E310" s="1"/>
      <c r="K310" s="209"/>
      <c r="M310" s="364"/>
      <c r="O310" s="449"/>
    </row>
    <row r="311" spans="2:15" s="173" customFormat="1" ht="25.5" customHeight="1">
      <c r="B311" s="122"/>
      <c r="C311" s="1"/>
      <c r="D311" s="1"/>
      <c r="E311" s="1"/>
      <c r="K311" s="209"/>
      <c r="M311" s="364"/>
      <c r="O311" s="449"/>
    </row>
    <row r="312" spans="2:15" s="173" customFormat="1" ht="25.5" customHeight="1">
      <c r="B312" s="122"/>
      <c r="C312" s="1"/>
      <c r="D312" s="1"/>
      <c r="E312" s="1"/>
      <c r="K312" s="209"/>
      <c r="M312" s="364"/>
      <c r="O312" s="449"/>
    </row>
    <row r="313" spans="2:15" s="173" customFormat="1" ht="25.5" customHeight="1">
      <c r="B313" s="122"/>
      <c r="C313" s="1"/>
      <c r="D313" s="1"/>
      <c r="E313" s="1"/>
      <c r="K313" s="209"/>
      <c r="M313" s="364"/>
      <c r="O313" s="449"/>
    </row>
    <row r="314" spans="2:15" s="173" customFormat="1" ht="25.5" customHeight="1">
      <c r="B314" s="122"/>
      <c r="C314" s="1"/>
      <c r="D314" s="1"/>
      <c r="E314" s="1"/>
      <c r="K314" s="209"/>
      <c r="M314" s="364"/>
      <c r="O314" s="449"/>
    </row>
    <row r="315" spans="2:15" s="173" customFormat="1" ht="25.5" customHeight="1">
      <c r="B315" s="40"/>
      <c r="C315" s="40"/>
      <c r="D315" s="101"/>
      <c r="E315" s="1"/>
      <c r="K315" s="209"/>
      <c r="M315" s="364"/>
      <c r="O315" s="449"/>
    </row>
    <row r="316" spans="2:15" s="173" customFormat="1" ht="25.5" customHeight="1">
      <c r="B316" s="122"/>
      <c r="C316" s="1"/>
      <c r="D316" s="1"/>
      <c r="E316" s="1"/>
      <c r="K316" s="209"/>
      <c r="M316" s="364"/>
      <c r="O316" s="449"/>
    </row>
    <row r="317" spans="2:15" s="173" customFormat="1" ht="25.5" customHeight="1">
      <c r="B317" s="122"/>
      <c r="C317" s="1"/>
      <c r="D317" s="1"/>
      <c r="E317" s="1"/>
      <c r="K317" s="209"/>
      <c r="M317" s="364"/>
      <c r="O317" s="449"/>
    </row>
    <row r="318" spans="2:15" s="173" customFormat="1" ht="25.5" customHeight="1">
      <c r="B318" s="122"/>
      <c r="C318" s="1"/>
      <c r="D318" s="1"/>
      <c r="E318" s="1"/>
      <c r="K318" s="209"/>
      <c r="M318" s="364"/>
      <c r="O318" s="449"/>
    </row>
    <row r="319" spans="2:15" s="173" customFormat="1" ht="25.5" customHeight="1">
      <c r="B319" s="122"/>
      <c r="C319" s="1"/>
      <c r="D319" s="1"/>
      <c r="E319" s="1"/>
      <c r="K319" s="209"/>
      <c r="M319" s="364"/>
      <c r="O319" s="449"/>
    </row>
    <row r="320" spans="2:15" s="173" customFormat="1" ht="25.5" customHeight="1">
      <c r="B320" s="122"/>
      <c r="C320" s="1"/>
      <c r="D320" s="1"/>
      <c r="E320" s="1"/>
      <c r="K320" s="209"/>
      <c r="M320" s="364"/>
      <c r="O320" s="449"/>
    </row>
    <row r="321" spans="2:15" s="173" customFormat="1" ht="25.5" customHeight="1">
      <c r="B321" s="122"/>
      <c r="C321" s="1"/>
      <c r="D321" s="1"/>
      <c r="E321" s="1"/>
      <c r="K321" s="209"/>
      <c r="M321" s="364"/>
      <c r="O321" s="449"/>
    </row>
    <row r="322" spans="2:15" s="173" customFormat="1" ht="25.5" customHeight="1">
      <c r="B322" s="122"/>
      <c r="C322" s="1"/>
      <c r="D322" s="1"/>
      <c r="E322" s="1"/>
      <c r="K322" s="209"/>
      <c r="M322" s="364"/>
      <c r="O322" s="449"/>
    </row>
    <row r="323" spans="2:15" s="173" customFormat="1" ht="25.5" customHeight="1">
      <c r="B323" s="122"/>
      <c r="C323" s="1"/>
      <c r="D323" s="1"/>
      <c r="E323" s="1"/>
      <c r="K323" s="209"/>
      <c r="M323" s="364"/>
      <c r="O323" s="449"/>
    </row>
    <row r="324" spans="2:15" s="173" customFormat="1" ht="25.5" customHeight="1">
      <c r="B324" s="122"/>
      <c r="C324" s="1"/>
      <c r="D324" s="1"/>
      <c r="E324" s="1"/>
      <c r="K324" s="209"/>
      <c r="M324" s="364"/>
      <c r="O324" s="449"/>
    </row>
    <row r="325" spans="2:15" s="173" customFormat="1" ht="25.5" customHeight="1">
      <c r="B325" s="122"/>
      <c r="C325" s="1"/>
      <c r="D325" s="1"/>
      <c r="E325" s="1"/>
      <c r="K325" s="209"/>
      <c r="M325" s="364"/>
      <c r="O325" s="449"/>
    </row>
    <row r="326" spans="2:15" s="173" customFormat="1" ht="25.5" customHeight="1">
      <c r="B326" s="122"/>
      <c r="C326" s="1"/>
      <c r="D326" s="1"/>
      <c r="E326" s="1"/>
      <c r="K326" s="209"/>
      <c r="M326" s="364"/>
      <c r="O326" s="449"/>
    </row>
    <row r="327" spans="2:15" s="173" customFormat="1" ht="25.5" customHeight="1">
      <c r="B327" s="122"/>
      <c r="C327" s="1"/>
      <c r="D327" s="1"/>
      <c r="E327" s="1"/>
      <c r="K327" s="209"/>
      <c r="M327" s="364"/>
      <c r="O327" s="449"/>
    </row>
    <row r="328" spans="2:15" s="173" customFormat="1" ht="25.5" customHeight="1">
      <c r="B328" s="122"/>
      <c r="C328" s="1"/>
      <c r="D328" s="1"/>
      <c r="E328" s="1"/>
      <c r="K328" s="209"/>
      <c r="M328" s="364"/>
      <c r="O328" s="449"/>
    </row>
    <row r="329" spans="2:15" s="173" customFormat="1" ht="25.5" customHeight="1">
      <c r="B329" s="122"/>
      <c r="C329" s="1"/>
      <c r="D329" s="1"/>
      <c r="E329" s="1"/>
      <c r="K329" s="209"/>
      <c r="M329" s="364"/>
      <c r="O329" s="449"/>
    </row>
    <row r="330" spans="2:15" s="173" customFormat="1" ht="25.5" customHeight="1">
      <c r="B330" s="122"/>
      <c r="C330" s="1"/>
      <c r="D330" s="1"/>
      <c r="E330" s="1"/>
      <c r="K330" s="209"/>
      <c r="M330" s="364"/>
      <c r="O330" s="449"/>
    </row>
    <row r="331" spans="2:15" s="173" customFormat="1" ht="25.5" customHeight="1">
      <c r="B331" s="122"/>
      <c r="C331" s="1"/>
      <c r="D331" s="1"/>
      <c r="E331" s="1"/>
      <c r="K331" s="209"/>
      <c r="M331" s="364"/>
      <c r="O331" s="449"/>
    </row>
    <row r="332" spans="2:15" s="173" customFormat="1" ht="25.5" customHeight="1">
      <c r="B332" s="122"/>
      <c r="C332" s="1"/>
      <c r="D332" s="1"/>
      <c r="E332" s="1"/>
      <c r="K332" s="209"/>
      <c r="M332" s="364"/>
      <c r="O332" s="449"/>
    </row>
    <row r="333" spans="2:15" s="173" customFormat="1" ht="25.5" customHeight="1">
      <c r="B333" s="122"/>
      <c r="C333" s="1"/>
      <c r="D333" s="1"/>
      <c r="E333" s="1"/>
      <c r="K333" s="209"/>
      <c r="M333" s="364"/>
      <c r="O333" s="449"/>
    </row>
    <row r="334" spans="2:15" s="173" customFormat="1" ht="25.5" customHeight="1">
      <c r="B334" s="122"/>
      <c r="C334" s="1"/>
      <c r="D334" s="1"/>
      <c r="E334" s="1"/>
      <c r="K334" s="209"/>
      <c r="M334" s="364"/>
      <c r="O334" s="449"/>
    </row>
    <row r="335" spans="2:15" s="173" customFormat="1" ht="25.5" customHeight="1">
      <c r="B335" s="122"/>
      <c r="C335" s="1"/>
      <c r="D335" s="1"/>
      <c r="E335" s="1"/>
      <c r="K335" s="209"/>
      <c r="M335" s="364"/>
      <c r="O335" s="449"/>
    </row>
    <row r="336" spans="2:15" s="173" customFormat="1" ht="25.5" customHeight="1">
      <c r="B336" s="122"/>
      <c r="C336" s="1"/>
      <c r="D336" s="1"/>
      <c r="E336" s="1"/>
      <c r="K336" s="209"/>
      <c r="M336" s="364"/>
      <c r="O336" s="449"/>
    </row>
    <row r="337" spans="2:15" s="173" customFormat="1" ht="25.5" customHeight="1">
      <c r="B337" s="122"/>
      <c r="C337" s="1"/>
      <c r="D337" s="1"/>
      <c r="E337" s="1"/>
      <c r="K337" s="209"/>
      <c r="M337" s="364"/>
      <c r="O337" s="449"/>
    </row>
    <row r="338" spans="2:15" s="173" customFormat="1" ht="25.5" customHeight="1">
      <c r="B338" s="122"/>
      <c r="C338" s="1"/>
      <c r="D338" s="1"/>
      <c r="E338" s="1"/>
      <c r="K338" s="209"/>
      <c r="M338" s="364"/>
      <c r="O338" s="449"/>
    </row>
    <row r="339" spans="2:15" s="173" customFormat="1" ht="25.5" customHeight="1">
      <c r="B339" s="122"/>
      <c r="C339" s="1"/>
      <c r="D339" s="1"/>
      <c r="E339" s="1"/>
      <c r="K339" s="209"/>
      <c r="M339" s="364"/>
      <c r="O339" s="449"/>
    </row>
    <row r="340" spans="2:15" s="173" customFormat="1" ht="25.5" customHeight="1">
      <c r="B340" s="122"/>
      <c r="C340" s="1"/>
      <c r="D340" s="1"/>
      <c r="E340" s="1"/>
      <c r="K340" s="209"/>
      <c r="M340" s="364"/>
      <c r="O340" s="449"/>
    </row>
    <row r="341" spans="2:15" s="173" customFormat="1" ht="25.5" customHeight="1">
      <c r="B341" s="122"/>
      <c r="C341" s="1"/>
      <c r="D341" s="1"/>
      <c r="E341" s="1"/>
      <c r="K341" s="209"/>
      <c r="M341" s="364"/>
      <c r="O341" s="449"/>
    </row>
    <row r="342" spans="2:15" s="173" customFormat="1" ht="25.5" customHeight="1">
      <c r="B342" s="122"/>
      <c r="C342" s="1"/>
      <c r="D342" s="1"/>
      <c r="E342" s="1"/>
      <c r="K342" s="209"/>
      <c r="M342" s="364"/>
      <c r="O342" s="449"/>
    </row>
    <row r="343" spans="2:15" s="173" customFormat="1" ht="25.5" customHeight="1">
      <c r="B343" s="122"/>
      <c r="C343" s="1"/>
      <c r="D343" s="1"/>
      <c r="E343" s="1"/>
      <c r="K343" s="209"/>
      <c r="M343" s="364"/>
      <c r="O343" s="449"/>
    </row>
    <row r="344" spans="2:15" s="173" customFormat="1" ht="25.5" customHeight="1">
      <c r="B344" s="122"/>
      <c r="C344" s="1"/>
      <c r="D344" s="1"/>
      <c r="E344" s="1"/>
      <c r="K344" s="209"/>
      <c r="M344" s="364"/>
      <c r="O344" s="449"/>
    </row>
    <row r="345" spans="2:15" s="173" customFormat="1" ht="25.5" customHeight="1">
      <c r="B345" s="122"/>
      <c r="C345" s="1"/>
      <c r="D345" s="1"/>
      <c r="E345" s="1"/>
      <c r="K345" s="209"/>
      <c r="M345" s="364"/>
      <c r="O345" s="449"/>
    </row>
    <row r="346" spans="2:15" s="173" customFormat="1" ht="25.5" customHeight="1">
      <c r="B346" s="122"/>
      <c r="C346" s="1"/>
      <c r="D346" s="1"/>
      <c r="E346" s="1"/>
      <c r="K346" s="209"/>
      <c r="M346" s="364"/>
      <c r="O346" s="449"/>
    </row>
    <row r="347" spans="2:15" s="173" customFormat="1" ht="25.5" customHeight="1">
      <c r="B347" s="122"/>
      <c r="C347" s="1"/>
      <c r="D347" s="1"/>
      <c r="E347" s="1"/>
      <c r="K347" s="209"/>
      <c r="M347" s="364"/>
      <c r="O347" s="449"/>
    </row>
    <row r="348" spans="2:15" s="173" customFormat="1" ht="25.5" customHeight="1">
      <c r="B348" s="122"/>
      <c r="C348" s="1"/>
      <c r="D348" s="1"/>
      <c r="E348" s="1"/>
      <c r="K348" s="209"/>
      <c r="M348" s="364"/>
      <c r="O348" s="449"/>
    </row>
    <row r="349" spans="2:15" s="173" customFormat="1" ht="25.5" customHeight="1">
      <c r="B349" s="122"/>
      <c r="C349" s="1"/>
      <c r="D349" s="1"/>
      <c r="E349" s="1"/>
      <c r="K349" s="209"/>
      <c r="M349" s="364"/>
      <c r="O349" s="449"/>
    </row>
    <row r="350" spans="2:15" s="173" customFormat="1" ht="25.5" customHeight="1">
      <c r="B350" s="122"/>
      <c r="C350" s="1"/>
      <c r="D350" s="1"/>
      <c r="E350" s="1"/>
      <c r="K350" s="209"/>
      <c r="M350" s="364"/>
      <c r="O350" s="449"/>
    </row>
    <row r="351" spans="2:15" s="173" customFormat="1" ht="25.5" customHeight="1">
      <c r="B351" s="122"/>
      <c r="C351" s="1"/>
      <c r="D351" s="1"/>
      <c r="E351" s="1"/>
      <c r="K351" s="209"/>
      <c r="M351" s="364"/>
      <c r="O351" s="449"/>
    </row>
    <row r="352" spans="2:15" s="173" customFormat="1" ht="25.5" customHeight="1">
      <c r="B352" s="122"/>
      <c r="C352" s="1"/>
      <c r="D352" s="1"/>
      <c r="E352" s="1"/>
      <c r="K352" s="209"/>
      <c r="M352" s="364"/>
      <c r="O352" s="449"/>
    </row>
    <row r="353" spans="2:15" s="173" customFormat="1" ht="25.5" customHeight="1">
      <c r="B353" s="122"/>
      <c r="C353" s="1"/>
      <c r="D353" s="1"/>
      <c r="E353" s="1"/>
      <c r="K353" s="209"/>
      <c r="M353" s="364"/>
      <c r="O353" s="449"/>
    </row>
    <row r="354" spans="2:15" s="173" customFormat="1" ht="25.5" customHeight="1">
      <c r="B354" s="122"/>
      <c r="C354" s="1"/>
      <c r="D354" s="1"/>
      <c r="E354" s="1"/>
      <c r="K354" s="209"/>
      <c r="M354" s="364"/>
      <c r="O354" s="449"/>
    </row>
    <row r="355" spans="2:15" s="173" customFormat="1" ht="25.5" customHeight="1">
      <c r="B355" s="122"/>
      <c r="C355" s="1"/>
      <c r="D355" s="1"/>
      <c r="E355" s="1"/>
      <c r="K355" s="209"/>
      <c r="M355" s="364"/>
      <c r="O355" s="449"/>
    </row>
    <row r="356" spans="2:15" s="173" customFormat="1" ht="25.5" customHeight="1">
      <c r="B356" s="122"/>
      <c r="C356" s="1"/>
      <c r="D356" s="1"/>
      <c r="E356" s="1"/>
      <c r="K356" s="209"/>
      <c r="M356" s="364"/>
      <c r="O356" s="449"/>
    </row>
    <row r="357" spans="2:15" s="173" customFormat="1" ht="25.5" customHeight="1">
      <c r="B357" s="122"/>
      <c r="C357" s="1"/>
      <c r="D357" s="1"/>
      <c r="E357" s="1"/>
      <c r="K357" s="209"/>
      <c r="M357" s="364"/>
      <c r="O357" s="449"/>
    </row>
    <row r="358" spans="2:15" s="173" customFormat="1" ht="25.5" customHeight="1">
      <c r="B358" s="122"/>
      <c r="C358" s="1"/>
      <c r="D358" s="1"/>
      <c r="E358" s="1"/>
      <c r="K358" s="209"/>
      <c r="M358" s="364"/>
      <c r="O358" s="449"/>
    </row>
    <row r="359" spans="2:15" s="173" customFormat="1" ht="25.5" customHeight="1">
      <c r="B359" s="122"/>
      <c r="C359" s="1"/>
      <c r="D359" s="1"/>
      <c r="E359" s="1"/>
      <c r="K359" s="209"/>
      <c r="M359" s="364"/>
      <c r="O359" s="449"/>
    </row>
    <row r="360" spans="2:15" s="173" customFormat="1" ht="25.5" customHeight="1">
      <c r="B360" s="122"/>
      <c r="C360" s="1"/>
      <c r="D360" s="1"/>
      <c r="E360" s="1"/>
      <c r="K360" s="209"/>
      <c r="M360" s="364"/>
      <c r="O360" s="449"/>
    </row>
    <row r="361" spans="2:15" s="173" customFormat="1" ht="25.5" customHeight="1">
      <c r="B361" s="122"/>
      <c r="C361" s="1"/>
      <c r="D361" s="1"/>
      <c r="E361" s="1"/>
      <c r="K361" s="209"/>
      <c r="M361" s="364"/>
      <c r="O361" s="449"/>
    </row>
    <row r="362" spans="2:15" s="173" customFormat="1" ht="25.5" customHeight="1">
      <c r="B362" s="122"/>
      <c r="C362" s="1"/>
      <c r="D362" s="1"/>
      <c r="E362" s="1"/>
      <c r="K362" s="209"/>
      <c r="M362" s="364"/>
      <c r="O362" s="449"/>
    </row>
    <row r="363" spans="2:15" s="173" customFormat="1" ht="25.5" customHeight="1">
      <c r="B363" s="122"/>
      <c r="C363" s="1"/>
      <c r="D363" s="1"/>
      <c r="E363" s="1"/>
      <c r="K363" s="209"/>
      <c r="M363" s="364"/>
      <c r="O363" s="449"/>
    </row>
    <row r="364" spans="2:15" s="173" customFormat="1" ht="25.5" customHeight="1">
      <c r="B364" s="122"/>
      <c r="C364" s="1"/>
      <c r="D364" s="1"/>
      <c r="E364" s="1"/>
      <c r="K364" s="209"/>
      <c r="M364" s="364"/>
      <c r="O364" s="449"/>
    </row>
    <row r="365" spans="2:15" s="173" customFormat="1" ht="25.5" customHeight="1">
      <c r="B365" s="122"/>
      <c r="C365" s="1"/>
      <c r="D365" s="1"/>
      <c r="E365" s="1"/>
      <c r="K365" s="209"/>
      <c r="M365" s="364"/>
      <c r="O365" s="449"/>
    </row>
    <row r="366" spans="2:15" s="173" customFormat="1" ht="25.5" customHeight="1">
      <c r="B366" s="122"/>
      <c r="C366" s="1"/>
      <c r="D366" s="1"/>
      <c r="E366" s="1"/>
      <c r="K366" s="209"/>
      <c r="M366" s="364"/>
      <c r="O366" s="449"/>
    </row>
    <row r="367" spans="2:15" s="173" customFormat="1" ht="25.5" customHeight="1">
      <c r="B367" s="122"/>
      <c r="C367" s="1"/>
      <c r="D367" s="1"/>
      <c r="E367" s="1"/>
      <c r="K367" s="209"/>
      <c r="M367" s="364"/>
      <c r="O367" s="449"/>
    </row>
    <row r="368" spans="2:15" s="173" customFormat="1" ht="25.5" customHeight="1">
      <c r="B368" s="122"/>
      <c r="C368" s="1"/>
      <c r="D368" s="1"/>
      <c r="E368" s="1"/>
      <c r="K368" s="209"/>
      <c r="M368" s="364"/>
      <c r="O368" s="449"/>
    </row>
    <row r="369" spans="2:15" s="173" customFormat="1" ht="25.5" customHeight="1">
      <c r="B369" s="122"/>
      <c r="C369" s="1"/>
      <c r="D369" s="1"/>
      <c r="E369" s="1"/>
      <c r="K369" s="209"/>
      <c r="M369" s="364"/>
      <c r="O369" s="449"/>
    </row>
    <row r="370" spans="2:15" s="173" customFormat="1" ht="25.5" customHeight="1">
      <c r="B370" s="122"/>
      <c r="C370" s="1"/>
      <c r="D370" s="1"/>
      <c r="E370" s="1"/>
      <c r="K370" s="209"/>
      <c r="M370" s="364"/>
      <c r="O370" s="449"/>
    </row>
    <row r="371" spans="2:15" s="173" customFormat="1" ht="25.5" customHeight="1">
      <c r="B371" s="122"/>
      <c r="C371" s="1"/>
      <c r="D371" s="1"/>
      <c r="E371" s="1"/>
      <c r="K371" s="209"/>
      <c r="M371" s="364"/>
      <c r="O371" s="449"/>
    </row>
    <row r="372" spans="2:15" s="173" customFormat="1" ht="25.5" customHeight="1">
      <c r="B372" s="122"/>
      <c r="C372" s="1"/>
      <c r="D372" s="1"/>
      <c r="E372" s="1"/>
      <c r="K372" s="209"/>
      <c r="M372" s="364"/>
      <c r="O372" s="449"/>
    </row>
    <row r="373" spans="2:15" s="173" customFormat="1" ht="25.5" customHeight="1">
      <c r="B373" s="122"/>
      <c r="C373" s="1"/>
      <c r="D373" s="1"/>
      <c r="E373" s="1"/>
      <c r="K373" s="209"/>
      <c r="M373" s="364"/>
      <c r="O373" s="449"/>
    </row>
    <row r="374" spans="2:15" s="173" customFormat="1" ht="25.5" customHeight="1">
      <c r="B374" s="122"/>
      <c r="C374" s="1"/>
      <c r="D374" s="1"/>
      <c r="E374" s="1"/>
      <c r="K374" s="209"/>
      <c r="M374" s="364"/>
      <c r="O374" s="449"/>
    </row>
    <row r="375" spans="2:15" s="173" customFormat="1" ht="25.5" customHeight="1">
      <c r="B375" s="122"/>
      <c r="C375" s="1"/>
      <c r="D375" s="1"/>
      <c r="E375" s="1"/>
      <c r="K375" s="209"/>
      <c r="M375" s="364"/>
      <c r="O375" s="449"/>
    </row>
    <row r="376" spans="2:15" s="173" customFormat="1" ht="25.5" customHeight="1">
      <c r="B376" s="122"/>
      <c r="C376" s="1"/>
      <c r="D376" s="1"/>
      <c r="E376" s="1"/>
      <c r="K376" s="209"/>
      <c r="M376" s="364"/>
      <c r="O376" s="449"/>
    </row>
    <row r="377" spans="2:15" s="173" customFormat="1" ht="25.5" customHeight="1">
      <c r="B377" s="122"/>
      <c r="C377" s="1"/>
      <c r="D377" s="1"/>
      <c r="E377" s="1"/>
      <c r="K377" s="209"/>
      <c r="M377" s="364"/>
      <c r="O377" s="449"/>
    </row>
    <row r="378" spans="2:15" s="173" customFormat="1" ht="25.5" customHeight="1">
      <c r="B378" s="122"/>
      <c r="C378" s="1"/>
      <c r="D378" s="1"/>
      <c r="E378" s="1"/>
      <c r="K378" s="209"/>
      <c r="M378" s="364"/>
      <c r="O378" s="449"/>
    </row>
    <row r="379" spans="2:15" s="173" customFormat="1" ht="25.5" customHeight="1">
      <c r="B379" s="122"/>
      <c r="C379" s="1"/>
      <c r="D379" s="1"/>
      <c r="E379" s="1"/>
      <c r="K379" s="209"/>
      <c r="M379" s="364"/>
      <c r="O379" s="449"/>
    </row>
    <row r="380" spans="2:15" s="173" customFormat="1" ht="25.5" customHeight="1">
      <c r="B380" s="122"/>
      <c r="C380" s="1"/>
      <c r="D380" s="1"/>
      <c r="E380" s="1"/>
      <c r="K380" s="209"/>
      <c r="M380" s="364"/>
      <c r="O380" s="449"/>
    </row>
    <row r="381" spans="2:15" s="173" customFormat="1" ht="25.5" customHeight="1">
      <c r="B381" s="122"/>
      <c r="C381" s="1"/>
      <c r="D381" s="1"/>
      <c r="E381" s="1"/>
      <c r="K381" s="209"/>
      <c r="M381" s="364"/>
      <c r="O381" s="449"/>
    </row>
    <row r="382" spans="2:15" s="173" customFormat="1" ht="25.5" customHeight="1">
      <c r="B382" s="122"/>
      <c r="C382" s="1"/>
      <c r="D382" s="1"/>
      <c r="E382" s="1"/>
      <c r="K382" s="209"/>
      <c r="M382" s="364"/>
      <c r="O382" s="449"/>
    </row>
    <row r="383" spans="2:15" s="173" customFormat="1" ht="25.5" customHeight="1">
      <c r="B383" s="122"/>
      <c r="C383" s="1"/>
      <c r="D383" s="1"/>
      <c r="E383" s="1"/>
      <c r="K383" s="209"/>
      <c r="M383" s="364"/>
      <c r="O383" s="449"/>
    </row>
    <row r="384" spans="2:15" s="173" customFormat="1" ht="25.5" customHeight="1">
      <c r="B384" s="122"/>
      <c r="C384" s="1"/>
      <c r="D384" s="1"/>
      <c r="E384" s="1"/>
      <c r="K384" s="209"/>
      <c r="M384" s="364"/>
      <c r="O384" s="449"/>
    </row>
    <row r="385" spans="2:15" s="173" customFormat="1" ht="25.5" customHeight="1">
      <c r="B385" s="122"/>
      <c r="C385" s="1"/>
      <c r="D385" s="1"/>
      <c r="E385" s="1"/>
      <c r="K385" s="209"/>
      <c r="M385" s="364"/>
      <c r="O385" s="449"/>
    </row>
    <row r="386" spans="2:15" s="173" customFormat="1" ht="25.5" customHeight="1">
      <c r="B386" s="122"/>
      <c r="C386" s="1"/>
      <c r="D386" s="1"/>
      <c r="E386" s="1"/>
      <c r="K386" s="209"/>
      <c r="M386" s="364"/>
      <c r="O386" s="449"/>
    </row>
    <row r="387" spans="2:15" s="173" customFormat="1" ht="25.5" customHeight="1">
      <c r="B387" s="122"/>
      <c r="C387" s="1"/>
      <c r="D387" s="1"/>
      <c r="E387" s="1"/>
      <c r="K387" s="209"/>
      <c r="M387" s="364"/>
      <c r="O387" s="449"/>
    </row>
    <row r="388" spans="2:15" s="173" customFormat="1" ht="25.5" customHeight="1">
      <c r="B388" s="122"/>
      <c r="C388" s="1"/>
      <c r="D388" s="1"/>
      <c r="E388" s="1"/>
      <c r="K388" s="209"/>
      <c r="M388" s="364"/>
      <c r="O388" s="449"/>
    </row>
    <row r="389" spans="2:15" s="173" customFormat="1" ht="25.5" customHeight="1">
      <c r="B389" s="122"/>
      <c r="C389" s="1"/>
      <c r="D389" s="1"/>
      <c r="E389" s="1"/>
      <c r="K389" s="209"/>
      <c r="M389" s="364"/>
      <c r="O389" s="449"/>
    </row>
    <row r="390" spans="2:15" s="173" customFormat="1" ht="25.5" customHeight="1">
      <c r="B390" s="122"/>
      <c r="C390" s="1"/>
      <c r="D390" s="1"/>
      <c r="E390" s="1"/>
      <c r="K390" s="209"/>
      <c r="M390" s="364"/>
      <c r="O390" s="449"/>
    </row>
    <row r="391" spans="2:15" s="173" customFormat="1" ht="25.5" customHeight="1">
      <c r="B391" s="122"/>
      <c r="C391" s="1"/>
      <c r="D391" s="1"/>
      <c r="E391" s="1"/>
      <c r="K391" s="209"/>
      <c r="M391" s="364"/>
      <c r="O391" s="449"/>
    </row>
    <row r="392" spans="2:15" s="173" customFormat="1" ht="25.5" customHeight="1">
      <c r="B392" s="122"/>
      <c r="C392" s="1"/>
      <c r="D392" s="1"/>
      <c r="E392" s="1"/>
      <c r="K392" s="209"/>
      <c r="M392" s="364"/>
      <c r="O392" s="449"/>
    </row>
    <row r="393" spans="2:15" s="173" customFormat="1" ht="25.5" customHeight="1">
      <c r="B393" s="122"/>
      <c r="C393" s="1"/>
      <c r="D393" s="1"/>
      <c r="E393" s="1"/>
      <c r="K393" s="209"/>
      <c r="M393" s="364"/>
      <c r="O393" s="449"/>
    </row>
    <row r="394" spans="2:15" s="173" customFormat="1" ht="25.5" customHeight="1">
      <c r="B394" s="122"/>
      <c r="C394" s="1"/>
      <c r="D394" s="1"/>
      <c r="E394" s="1"/>
      <c r="K394" s="209"/>
      <c r="M394" s="364"/>
      <c r="O394" s="449"/>
    </row>
    <row r="395" spans="2:15" s="173" customFormat="1" ht="25.5" customHeight="1">
      <c r="B395" s="122"/>
      <c r="C395" s="1"/>
      <c r="D395" s="1"/>
      <c r="E395" s="1"/>
      <c r="K395" s="209"/>
      <c r="M395" s="364"/>
      <c r="O395" s="449"/>
    </row>
    <row r="396" spans="2:15" s="173" customFormat="1" ht="25.5" customHeight="1">
      <c r="B396" s="122"/>
      <c r="C396" s="1"/>
      <c r="D396" s="1"/>
      <c r="E396" s="1"/>
      <c r="K396" s="209"/>
      <c r="M396" s="364"/>
      <c r="O396" s="449"/>
    </row>
    <row r="397" spans="2:15" s="173" customFormat="1" ht="25.5" customHeight="1">
      <c r="B397" s="122"/>
      <c r="C397" s="1"/>
      <c r="D397" s="1"/>
      <c r="E397" s="1"/>
      <c r="K397" s="209"/>
      <c r="M397" s="364"/>
      <c r="O397" s="449"/>
    </row>
    <row r="398" spans="2:15" s="173" customFormat="1" ht="25.5" customHeight="1">
      <c r="B398" s="122"/>
      <c r="C398" s="1"/>
      <c r="D398" s="1"/>
      <c r="E398" s="1"/>
      <c r="K398" s="209"/>
      <c r="M398" s="364"/>
      <c r="O398" s="449"/>
    </row>
    <row r="399" spans="2:15" s="173" customFormat="1" ht="25.5" customHeight="1">
      <c r="B399" s="122"/>
      <c r="C399" s="1"/>
      <c r="D399" s="1"/>
      <c r="E399" s="1"/>
      <c r="K399" s="209"/>
      <c r="M399" s="364"/>
      <c r="O399" s="449"/>
    </row>
    <row r="400" spans="2:15" s="173" customFormat="1" ht="25.5" customHeight="1">
      <c r="B400" s="122"/>
      <c r="C400" s="1"/>
      <c r="D400" s="1"/>
      <c r="E400" s="1"/>
      <c r="K400" s="209"/>
      <c r="M400" s="364"/>
      <c r="O400" s="449"/>
    </row>
    <row r="401" spans="2:15" s="173" customFormat="1" ht="25.5" customHeight="1">
      <c r="B401" s="122"/>
      <c r="C401" s="1"/>
      <c r="D401" s="1"/>
      <c r="E401" s="1"/>
      <c r="K401" s="209"/>
      <c r="M401" s="364"/>
      <c r="O401" s="449"/>
    </row>
    <row r="402" spans="2:15" s="173" customFormat="1" ht="25.5" customHeight="1">
      <c r="B402" s="122"/>
      <c r="C402" s="1"/>
      <c r="D402" s="1"/>
      <c r="E402" s="1"/>
      <c r="K402" s="209"/>
      <c r="M402" s="364"/>
      <c r="O402" s="449"/>
    </row>
    <row r="403" spans="2:15" s="173" customFormat="1" ht="25.5" customHeight="1">
      <c r="B403" s="122"/>
      <c r="C403" s="1"/>
      <c r="D403" s="1"/>
      <c r="E403" s="1"/>
      <c r="K403" s="209"/>
      <c r="M403" s="364"/>
      <c r="O403" s="449"/>
    </row>
    <row r="404" spans="2:15" s="173" customFormat="1" ht="25.5" customHeight="1">
      <c r="B404" s="122"/>
      <c r="C404" s="1"/>
      <c r="D404" s="1"/>
      <c r="E404" s="1"/>
      <c r="K404" s="209"/>
      <c r="M404" s="364"/>
      <c r="O404" s="449"/>
    </row>
    <row r="405" spans="2:15" s="173" customFormat="1" ht="25.5" customHeight="1">
      <c r="B405" s="122"/>
      <c r="C405" s="1"/>
      <c r="D405" s="1"/>
      <c r="E405" s="1"/>
      <c r="K405" s="209"/>
      <c r="M405" s="364"/>
      <c r="O405" s="449"/>
    </row>
    <row r="406" spans="2:15" s="173" customFormat="1" ht="25.5" customHeight="1">
      <c r="B406" s="122"/>
      <c r="C406" s="1"/>
      <c r="D406" s="1"/>
      <c r="E406" s="1"/>
      <c r="K406" s="209"/>
      <c r="M406" s="364"/>
      <c r="O406" s="449"/>
    </row>
    <row r="407" spans="2:15" s="173" customFormat="1" ht="25.5" customHeight="1">
      <c r="B407" s="122"/>
      <c r="C407" s="1"/>
      <c r="D407" s="1"/>
      <c r="E407" s="1"/>
      <c r="K407" s="209"/>
      <c r="M407" s="364"/>
      <c r="O407" s="449"/>
    </row>
    <row r="408" spans="2:15" s="173" customFormat="1" ht="25.5" customHeight="1">
      <c r="B408" s="122"/>
      <c r="C408" s="1"/>
      <c r="D408" s="1"/>
      <c r="E408" s="1"/>
      <c r="K408" s="209"/>
      <c r="M408" s="364"/>
      <c r="O408" s="449"/>
    </row>
    <row r="409" spans="2:15" s="173" customFormat="1" ht="25.5" customHeight="1">
      <c r="B409" s="122"/>
      <c r="C409" s="1"/>
      <c r="D409" s="1"/>
      <c r="E409" s="1"/>
      <c r="K409" s="209"/>
      <c r="M409" s="364"/>
      <c r="O409" s="449"/>
    </row>
    <row r="410" spans="2:15" s="173" customFormat="1" ht="25.5" customHeight="1">
      <c r="B410" s="122"/>
      <c r="C410" s="1"/>
      <c r="D410" s="1"/>
      <c r="E410" s="1"/>
      <c r="K410" s="209"/>
      <c r="M410" s="364"/>
      <c r="O410" s="449"/>
    </row>
    <row r="411" spans="2:15" s="173" customFormat="1" ht="25.5" customHeight="1">
      <c r="B411" s="122"/>
      <c r="C411" s="1"/>
      <c r="D411" s="1"/>
      <c r="E411" s="1"/>
      <c r="K411" s="209"/>
      <c r="M411" s="364"/>
      <c r="O411" s="449"/>
    </row>
    <row r="412" spans="2:15" s="173" customFormat="1" ht="25.5" customHeight="1">
      <c r="B412" s="122"/>
      <c r="C412" s="1"/>
      <c r="D412" s="1"/>
      <c r="E412" s="1"/>
      <c r="K412" s="209"/>
      <c r="M412" s="364"/>
      <c r="O412" s="449"/>
    </row>
    <row r="413" spans="2:15" s="173" customFormat="1" ht="25.5" customHeight="1">
      <c r="B413" s="122"/>
      <c r="C413" s="1"/>
      <c r="D413" s="1"/>
      <c r="E413" s="1"/>
      <c r="K413" s="209"/>
      <c r="M413" s="364"/>
      <c r="O413" s="449"/>
    </row>
    <row r="414" spans="2:15" s="173" customFormat="1" ht="25.5" customHeight="1">
      <c r="B414" s="122"/>
      <c r="C414" s="1"/>
      <c r="D414" s="1"/>
      <c r="E414" s="1"/>
      <c r="K414" s="209"/>
      <c r="M414" s="364"/>
      <c r="O414" s="449"/>
    </row>
    <row r="415" spans="2:15" s="173" customFormat="1" ht="25.5" customHeight="1">
      <c r="B415" s="122"/>
      <c r="C415" s="1"/>
      <c r="D415" s="1"/>
      <c r="E415" s="1"/>
      <c r="K415" s="209"/>
      <c r="M415" s="364"/>
      <c r="O415" s="449"/>
    </row>
    <row r="416" spans="2:15" s="173" customFormat="1" ht="25.5" customHeight="1">
      <c r="B416" s="122"/>
      <c r="C416" s="1"/>
      <c r="D416" s="1"/>
      <c r="E416" s="1"/>
      <c r="K416" s="209"/>
      <c r="M416" s="364"/>
      <c r="O416" s="449"/>
    </row>
    <row r="417" spans="2:15" s="173" customFormat="1" ht="25.5" customHeight="1">
      <c r="B417" s="122"/>
      <c r="C417" s="1"/>
      <c r="D417" s="1"/>
      <c r="E417" s="1"/>
      <c r="K417" s="209"/>
      <c r="M417" s="364"/>
      <c r="O417" s="449"/>
    </row>
    <row r="418" spans="2:15" s="173" customFormat="1" ht="25.5" customHeight="1">
      <c r="B418" s="122"/>
      <c r="C418" s="1"/>
      <c r="D418" s="1"/>
      <c r="E418" s="1"/>
      <c r="K418" s="209"/>
      <c r="M418" s="364"/>
      <c r="O418" s="449"/>
    </row>
    <row r="419" spans="2:15" s="173" customFormat="1" ht="25.5" customHeight="1">
      <c r="B419" s="122"/>
      <c r="C419" s="1"/>
      <c r="D419" s="1"/>
      <c r="E419" s="1"/>
      <c r="K419" s="209"/>
      <c r="M419" s="364"/>
      <c r="O419" s="449"/>
    </row>
    <row r="420" spans="2:15" s="173" customFormat="1" ht="25.5" customHeight="1">
      <c r="B420" s="122"/>
      <c r="C420" s="1"/>
      <c r="D420" s="1"/>
      <c r="E420" s="1"/>
      <c r="K420" s="209"/>
      <c r="M420" s="364"/>
      <c r="O420" s="449"/>
    </row>
    <row r="421" spans="2:15" s="173" customFormat="1" ht="25.5" customHeight="1">
      <c r="B421" s="122"/>
      <c r="C421" s="1"/>
      <c r="D421" s="1"/>
      <c r="E421" s="1"/>
      <c r="K421" s="209"/>
      <c r="M421" s="364"/>
      <c r="O421" s="449"/>
    </row>
    <row r="422" spans="2:15" s="173" customFormat="1" ht="25.5" customHeight="1">
      <c r="B422" s="122"/>
      <c r="C422" s="1"/>
      <c r="D422" s="1"/>
      <c r="E422" s="1"/>
      <c r="K422" s="209"/>
      <c r="M422" s="364"/>
      <c r="O422" s="449"/>
    </row>
    <row r="423" spans="2:15" s="173" customFormat="1" ht="25.5" customHeight="1">
      <c r="B423" s="122"/>
      <c r="C423" s="1"/>
      <c r="D423" s="1"/>
      <c r="E423" s="1"/>
      <c r="K423" s="209"/>
      <c r="M423" s="364"/>
      <c r="O423" s="449"/>
    </row>
    <row r="424" spans="2:15" s="173" customFormat="1" ht="25.5" customHeight="1">
      <c r="B424" s="122"/>
      <c r="C424" s="1"/>
      <c r="D424" s="1"/>
      <c r="E424" s="1"/>
      <c r="K424" s="209"/>
      <c r="M424" s="364"/>
      <c r="O424" s="449"/>
    </row>
    <row r="425" spans="2:15" s="173" customFormat="1" ht="25.5" customHeight="1">
      <c r="B425" s="122"/>
      <c r="C425" s="1"/>
      <c r="D425" s="1"/>
      <c r="E425" s="1"/>
      <c r="K425" s="209"/>
      <c r="M425" s="364"/>
      <c r="O425" s="449"/>
    </row>
    <row r="426" spans="2:15" s="173" customFormat="1" ht="25.5" customHeight="1">
      <c r="B426" s="122"/>
      <c r="C426" s="1"/>
      <c r="D426" s="1"/>
      <c r="E426" s="1"/>
      <c r="K426" s="209"/>
      <c r="M426" s="364"/>
      <c r="O426" s="449"/>
    </row>
    <row r="427" spans="2:15" s="173" customFormat="1" ht="25.5" customHeight="1">
      <c r="B427" s="122"/>
      <c r="C427" s="1"/>
      <c r="D427" s="1"/>
      <c r="E427" s="1"/>
      <c r="K427" s="209"/>
      <c r="M427" s="364"/>
      <c r="O427" s="449"/>
    </row>
    <row r="428" spans="2:15" s="173" customFormat="1" ht="25.5" customHeight="1">
      <c r="B428" s="122"/>
      <c r="C428" s="1"/>
      <c r="D428" s="1"/>
      <c r="E428" s="1"/>
      <c r="K428" s="209"/>
      <c r="M428" s="364"/>
      <c r="O428" s="449"/>
    </row>
    <row r="429" spans="2:15" s="173" customFormat="1" ht="25.5" customHeight="1">
      <c r="B429" s="122"/>
      <c r="C429" s="1"/>
      <c r="D429" s="1"/>
      <c r="E429" s="1"/>
      <c r="K429" s="209"/>
      <c r="M429" s="364"/>
      <c r="O429" s="449"/>
    </row>
    <row r="430" spans="2:15" s="173" customFormat="1" ht="25.5" customHeight="1">
      <c r="B430" s="122"/>
      <c r="C430" s="1"/>
      <c r="D430" s="1"/>
      <c r="E430" s="1"/>
      <c r="K430" s="209"/>
      <c r="M430" s="364"/>
      <c r="O430" s="449"/>
    </row>
    <row r="431" spans="2:15" s="173" customFormat="1" ht="25.5" customHeight="1">
      <c r="B431" s="122"/>
      <c r="C431" s="1"/>
      <c r="D431" s="1"/>
      <c r="E431" s="1"/>
      <c r="K431" s="209"/>
      <c r="M431" s="364"/>
      <c r="O431" s="449"/>
    </row>
    <row r="432" spans="2:15" s="173" customFormat="1" ht="25.5" customHeight="1">
      <c r="B432" s="122"/>
      <c r="C432" s="1"/>
      <c r="D432" s="1"/>
      <c r="E432" s="1"/>
      <c r="K432" s="209"/>
      <c r="M432" s="364"/>
      <c r="O432" s="449"/>
    </row>
    <row r="433" spans="2:15" s="173" customFormat="1" ht="25.5" customHeight="1">
      <c r="B433" s="122"/>
      <c r="C433" s="1"/>
      <c r="D433" s="1"/>
      <c r="E433" s="1"/>
      <c r="K433" s="209"/>
      <c r="M433" s="364"/>
      <c r="O433" s="449"/>
    </row>
    <row r="434" spans="2:15" s="173" customFormat="1" ht="25.5" customHeight="1">
      <c r="B434" s="122"/>
      <c r="C434" s="1"/>
      <c r="D434" s="1"/>
      <c r="E434" s="1"/>
      <c r="K434" s="209"/>
      <c r="M434" s="364"/>
      <c r="O434" s="449"/>
    </row>
    <row r="435" spans="2:15" s="173" customFormat="1" ht="25.5" customHeight="1">
      <c r="B435" s="122"/>
      <c r="C435" s="1"/>
      <c r="D435" s="1"/>
      <c r="E435" s="1"/>
      <c r="K435" s="209"/>
      <c r="M435" s="364"/>
      <c r="O435" s="449"/>
    </row>
    <row r="436" spans="2:15" s="173" customFormat="1" ht="25.5" customHeight="1">
      <c r="B436" s="122"/>
      <c r="C436" s="1"/>
      <c r="D436" s="1"/>
      <c r="E436" s="1"/>
      <c r="K436" s="209"/>
      <c r="M436" s="364"/>
      <c r="O436" s="449"/>
    </row>
    <row r="437" spans="2:15" s="173" customFormat="1" ht="25.5" customHeight="1">
      <c r="B437" s="122"/>
      <c r="C437" s="1"/>
      <c r="D437" s="1"/>
      <c r="E437" s="1"/>
      <c r="K437" s="209"/>
      <c r="M437" s="364"/>
      <c r="O437" s="449"/>
    </row>
    <row r="438" spans="2:15" s="173" customFormat="1" ht="25.5" customHeight="1">
      <c r="B438" s="122"/>
      <c r="C438" s="1"/>
      <c r="D438" s="1"/>
      <c r="E438" s="1"/>
      <c r="K438" s="209"/>
      <c r="M438" s="364"/>
      <c r="O438" s="449"/>
    </row>
    <row r="439" spans="2:15" s="173" customFormat="1" ht="25.5" customHeight="1">
      <c r="B439" s="122"/>
      <c r="C439" s="1"/>
      <c r="D439" s="1"/>
      <c r="E439" s="1"/>
      <c r="K439" s="209"/>
      <c r="M439" s="364"/>
      <c r="O439" s="449"/>
    </row>
    <row r="440" spans="2:15" s="173" customFormat="1" ht="25.5" customHeight="1">
      <c r="B440" s="122"/>
      <c r="C440" s="1"/>
      <c r="D440" s="1"/>
      <c r="E440" s="1"/>
      <c r="K440" s="209"/>
      <c r="M440" s="364"/>
      <c r="O440" s="449"/>
    </row>
    <row r="441" spans="2:15" s="173" customFormat="1" ht="25.5" customHeight="1">
      <c r="B441" s="122"/>
      <c r="C441" s="1"/>
      <c r="D441" s="1"/>
      <c r="E441" s="1"/>
      <c r="K441" s="209"/>
      <c r="M441" s="364"/>
      <c r="O441" s="449"/>
    </row>
    <row r="442" spans="2:15" s="173" customFormat="1" ht="25.5" customHeight="1">
      <c r="B442" s="122"/>
      <c r="C442" s="1"/>
      <c r="D442" s="1"/>
      <c r="E442" s="1"/>
      <c r="K442" s="209"/>
      <c r="M442" s="364"/>
      <c r="O442" s="449"/>
    </row>
    <row r="443" spans="2:15" s="173" customFormat="1" ht="25.5" customHeight="1">
      <c r="B443" s="122"/>
      <c r="C443" s="1"/>
      <c r="D443" s="1"/>
      <c r="E443" s="1"/>
      <c r="K443" s="209"/>
      <c r="M443" s="364"/>
      <c r="O443" s="449"/>
    </row>
    <row r="444" spans="2:15" s="173" customFormat="1" ht="25.5" customHeight="1">
      <c r="B444" s="122"/>
      <c r="C444" s="1"/>
      <c r="D444" s="1"/>
      <c r="E444" s="1"/>
      <c r="K444" s="209"/>
      <c r="M444" s="364"/>
      <c r="O444" s="449"/>
    </row>
    <row r="445" spans="2:15" s="173" customFormat="1" ht="25.5" customHeight="1">
      <c r="B445" s="122"/>
      <c r="C445" s="1"/>
      <c r="D445" s="1"/>
      <c r="E445" s="1"/>
      <c r="K445" s="209"/>
      <c r="M445" s="364"/>
      <c r="O445" s="449"/>
    </row>
    <row r="446" spans="2:15" s="173" customFormat="1" ht="25.5" customHeight="1">
      <c r="B446" s="122"/>
      <c r="C446" s="1"/>
      <c r="D446" s="1"/>
      <c r="E446" s="1"/>
      <c r="K446" s="209"/>
      <c r="M446" s="364"/>
      <c r="O446" s="449"/>
    </row>
    <row r="447" spans="2:15" s="173" customFormat="1" ht="25.5" customHeight="1">
      <c r="B447" s="122"/>
      <c r="C447" s="1"/>
      <c r="D447" s="1"/>
      <c r="E447" s="1"/>
      <c r="K447" s="209"/>
      <c r="M447" s="364"/>
      <c r="O447" s="449"/>
    </row>
    <row r="448" spans="2:15" s="173" customFormat="1" ht="25.5" customHeight="1">
      <c r="B448" s="122"/>
      <c r="C448" s="1"/>
      <c r="D448" s="1"/>
      <c r="E448" s="1"/>
      <c r="K448" s="209"/>
      <c r="M448" s="364"/>
      <c r="O448" s="449"/>
    </row>
    <row r="449" spans="2:15" s="173" customFormat="1" ht="25.5" customHeight="1">
      <c r="B449" s="122"/>
      <c r="C449" s="1"/>
      <c r="D449" s="1"/>
      <c r="E449" s="1"/>
      <c r="K449" s="209"/>
      <c r="M449" s="364"/>
      <c r="O449" s="449"/>
    </row>
    <row r="450" spans="2:15" s="173" customFormat="1" ht="25.5" customHeight="1">
      <c r="B450" s="122"/>
      <c r="C450" s="1"/>
      <c r="D450" s="1"/>
      <c r="E450" s="1"/>
      <c r="K450" s="209"/>
      <c r="M450" s="364"/>
      <c r="O450" s="449"/>
    </row>
    <row r="451" spans="2:15" s="173" customFormat="1" ht="25.5" customHeight="1">
      <c r="B451" s="122"/>
      <c r="C451" s="1"/>
      <c r="D451" s="1"/>
      <c r="E451" s="1"/>
      <c r="K451" s="209"/>
      <c r="M451" s="364"/>
      <c r="O451" s="449"/>
    </row>
    <row r="452" spans="2:15" s="173" customFormat="1" ht="25.5" customHeight="1">
      <c r="B452" s="122"/>
      <c r="C452" s="1"/>
      <c r="D452" s="1"/>
      <c r="E452" s="1"/>
      <c r="K452" s="209"/>
      <c r="M452" s="364"/>
      <c r="O452" s="449"/>
    </row>
    <row r="453" spans="2:15" s="173" customFormat="1" ht="25.5" customHeight="1">
      <c r="B453" s="122"/>
      <c r="C453" s="1"/>
      <c r="D453" s="1"/>
      <c r="E453" s="1"/>
      <c r="K453" s="209"/>
      <c r="M453" s="364"/>
      <c r="O453" s="449"/>
    </row>
    <row r="454" spans="2:15" s="173" customFormat="1" ht="25.5" customHeight="1">
      <c r="B454" s="122"/>
      <c r="C454" s="1"/>
      <c r="D454" s="1"/>
      <c r="E454" s="1"/>
      <c r="K454" s="209"/>
      <c r="M454" s="364"/>
      <c r="O454" s="449"/>
    </row>
    <row r="455" spans="2:15" s="173" customFormat="1" ht="25.5" customHeight="1">
      <c r="B455" s="122"/>
      <c r="C455" s="1"/>
      <c r="D455" s="1"/>
      <c r="E455" s="1"/>
      <c r="K455" s="209"/>
      <c r="M455" s="364"/>
      <c r="O455" s="449"/>
    </row>
    <row r="456" spans="2:15" s="173" customFormat="1" ht="25.5" customHeight="1">
      <c r="B456" s="122"/>
      <c r="C456" s="1"/>
      <c r="D456" s="1"/>
      <c r="E456" s="1"/>
      <c r="K456" s="209"/>
      <c r="M456" s="364"/>
      <c r="O456" s="449"/>
    </row>
    <row r="457" spans="2:15" s="173" customFormat="1" ht="25.5" customHeight="1">
      <c r="B457" s="122"/>
      <c r="C457" s="1"/>
      <c r="D457" s="1"/>
      <c r="E457" s="1"/>
      <c r="K457" s="209"/>
      <c r="M457" s="364"/>
      <c r="O457" s="449"/>
    </row>
    <row r="458" spans="2:15" s="173" customFormat="1" ht="25.5" customHeight="1">
      <c r="B458" s="122"/>
      <c r="C458" s="1"/>
      <c r="D458" s="1"/>
      <c r="E458" s="1"/>
      <c r="K458" s="209"/>
      <c r="M458" s="364"/>
      <c r="O458" s="449"/>
    </row>
    <row r="459" spans="2:15" s="173" customFormat="1" ht="25.5" customHeight="1">
      <c r="B459" s="122"/>
      <c r="C459" s="1"/>
      <c r="D459" s="1"/>
      <c r="E459" s="1"/>
      <c r="K459" s="209"/>
      <c r="M459" s="364"/>
      <c r="O459" s="449"/>
    </row>
    <row r="460" spans="2:15" s="173" customFormat="1" ht="25.5" customHeight="1">
      <c r="B460" s="122"/>
      <c r="C460" s="1"/>
      <c r="D460" s="1"/>
      <c r="E460" s="1"/>
      <c r="K460" s="209"/>
      <c r="M460" s="364"/>
      <c r="O460" s="449"/>
    </row>
    <row r="461" spans="2:15" s="173" customFormat="1" ht="25.5" customHeight="1">
      <c r="B461" s="122"/>
      <c r="C461" s="1"/>
      <c r="D461" s="1"/>
      <c r="E461" s="1"/>
      <c r="K461" s="209"/>
      <c r="M461" s="364"/>
      <c r="O461" s="449"/>
    </row>
    <row r="462" spans="2:15" s="173" customFormat="1" ht="25.5" customHeight="1">
      <c r="B462" s="122"/>
      <c r="C462" s="1"/>
      <c r="D462" s="1"/>
      <c r="E462" s="1"/>
      <c r="K462" s="209"/>
      <c r="M462" s="364"/>
      <c r="O462" s="449"/>
    </row>
    <row r="463" spans="2:15" s="173" customFormat="1" ht="25.5" customHeight="1">
      <c r="B463" s="122"/>
      <c r="C463" s="1"/>
      <c r="D463" s="1"/>
      <c r="E463" s="1"/>
      <c r="K463" s="209"/>
      <c r="M463" s="364"/>
      <c r="O463" s="449"/>
    </row>
    <row r="464" spans="2:15" s="173" customFormat="1" ht="25.5" customHeight="1">
      <c r="B464" s="122"/>
      <c r="C464" s="1"/>
      <c r="D464" s="1"/>
      <c r="E464" s="1"/>
      <c r="K464" s="209"/>
      <c r="M464" s="364"/>
      <c r="O464" s="449"/>
    </row>
    <row r="465" spans="2:15" s="173" customFormat="1" ht="25.5" customHeight="1">
      <c r="B465" s="122"/>
      <c r="C465" s="1"/>
      <c r="D465" s="1"/>
      <c r="E465" s="1"/>
      <c r="K465" s="209"/>
      <c r="M465" s="364"/>
      <c r="O465" s="449"/>
    </row>
    <row r="466" spans="2:15" s="173" customFormat="1" ht="25.5" customHeight="1">
      <c r="B466" s="122"/>
      <c r="C466" s="1"/>
      <c r="D466" s="1"/>
      <c r="E466" s="1"/>
      <c r="K466" s="209"/>
      <c r="M466" s="364"/>
      <c r="O466" s="449"/>
    </row>
    <row r="467" spans="2:15" s="173" customFormat="1" ht="25.5" customHeight="1">
      <c r="B467" s="122"/>
      <c r="C467" s="1"/>
      <c r="D467" s="1"/>
      <c r="E467" s="1"/>
      <c r="K467" s="209"/>
      <c r="M467" s="364"/>
      <c r="O467" s="449"/>
    </row>
    <row r="468" spans="2:15" s="173" customFormat="1" ht="25.5" customHeight="1">
      <c r="B468" s="122"/>
      <c r="C468" s="1"/>
      <c r="D468" s="1"/>
      <c r="E468" s="1"/>
      <c r="K468" s="209"/>
      <c r="M468" s="364"/>
      <c r="O468" s="449"/>
    </row>
    <row r="469" spans="2:15" s="173" customFormat="1" ht="25.5" customHeight="1">
      <c r="B469" s="122"/>
      <c r="C469" s="1"/>
      <c r="D469" s="1"/>
      <c r="E469" s="1"/>
      <c r="K469" s="209"/>
      <c r="M469" s="364"/>
      <c r="O469" s="449"/>
    </row>
    <row r="470" spans="2:15" s="173" customFormat="1" ht="25.5" customHeight="1">
      <c r="B470" s="122"/>
      <c r="C470" s="1"/>
      <c r="D470" s="1"/>
      <c r="E470" s="1"/>
      <c r="K470" s="209"/>
      <c r="M470" s="364"/>
      <c r="O470" s="449"/>
    </row>
    <row r="471" spans="2:15" s="173" customFormat="1" ht="25.5" customHeight="1">
      <c r="B471" s="122"/>
      <c r="C471" s="1"/>
      <c r="D471" s="1"/>
      <c r="E471" s="1"/>
      <c r="K471" s="209"/>
      <c r="M471" s="364"/>
      <c r="O471" s="449"/>
    </row>
    <row r="472" spans="2:15" s="173" customFormat="1" ht="25.5" customHeight="1">
      <c r="B472" s="122"/>
      <c r="C472" s="1"/>
      <c r="D472" s="1"/>
      <c r="E472" s="1"/>
      <c r="K472" s="209"/>
      <c r="M472" s="364"/>
      <c r="O472" s="449"/>
    </row>
    <row r="473" spans="2:15" s="173" customFormat="1" ht="25.5" customHeight="1">
      <c r="B473" s="122"/>
      <c r="C473" s="1"/>
      <c r="D473" s="1"/>
      <c r="E473" s="1"/>
      <c r="K473" s="209"/>
      <c r="M473" s="364"/>
      <c r="O473" s="449"/>
    </row>
    <row r="474" spans="2:15" s="173" customFormat="1" ht="25.5" customHeight="1">
      <c r="B474" s="122"/>
      <c r="C474" s="1"/>
      <c r="D474" s="1"/>
      <c r="E474" s="1"/>
      <c r="K474" s="209"/>
      <c r="M474" s="364"/>
      <c r="O474" s="449"/>
    </row>
    <row r="475" spans="2:15" s="173" customFormat="1" ht="25.5" customHeight="1">
      <c r="B475" s="122"/>
      <c r="C475" s="1"/>
      <c r="D475" s="1"/>
      <c r="E475" s="1"/>
      <c r="K475" s="209"/>
      <c r="M475" s="364"/>
      <c r="O475" s="449"/>
    </row>
    <row r="476" spans="2:15" s="173" customFormat="1" ht="25.5" customHeight="1">
      <c r="B476" s="122"/>
      <c r="C476" s="1"/>
      <c r="D476" s="1"/>
      <c r="E476" s="1"/>
      <c r="K476" s="209"/>
      <c r="M476" s="364"/>
      <c r="O476" s="449"/>
    </row>
    <row r="477" spans="2:15" s="173" customFormat="1" ht="25.5" customHeight="1">
      <c r="B477" s="122"/>
      <c r="C477" s="1"/>
      <c r="D477" s="1"/>
      <c r="E477" s="1"/>
      <c r="K477" s="209"/>
      <c r="M477" s="364"/>
      <c r="O477" s="449"/>
    </row>
    <row r="478" spans="2:15" s="173" customFormat="1" ht="25.5" customHeight="1">
      <c r="B478" s="122"/>
      <c r="C478" s="1"/>
      <c r="D478" s="1"/>
      <c r="E478" s="1"/>
      <c r="K478" s="209"/>
      <c r="M478" s="364"/>
      <c r="O478" s="449"/>
    </row>
    <row r="479" spans="2:15" s="173" customFormat="1" ht="25.5" customHeight="1">
      <c r="B479" s="122"/>
      <c r="C479" s="1"/>
      <c r="D479" s="1"/>
      <c r="E479" s="1"/>
      <c r="K479" s="209"/>
      <c r="M479" s="364"/>
      <c r="O479" s="449"/>
    </row>
    <row r="480" spans="2:15" s="173" customFormat="1" ht="25.5" customHeight="1">
      <c r="B480" s="122"/>
      <c r="C480" s="1"/>
      <c r="D480" s="1"/>
      <c r="E480" s="1"/>
      <c r="K480" s="209"/>
      <c r="M480" s="364"/>
      <c r="O480" s="449"/>
    </row>
    <row r="481" spans="2:15" s="173" customFormat="1" ht="25.5" customHeight="1">
      <c r="B481" s="122"/>
      <c r="C481" s="1"/>
      <c r="D481" s="1"/>
      <c r="E481" s="1"/>
      <c r="K481" s="209"/>
      <c r="M481" s="364"/>
      <c r="O481" s="449"/>
    </row>
    <row r="482" spans="2:15" s="173" customFormat="1" ht="25.5" customHeight="1">
      <c r="B482" s="122"/>
      <c r="C482" s="1"/>
      <c r="D482" s="1"/>
      <c r="E482" s="1"/>
      <c r="K482" s="209"/>
      <c r="M482" s="364"/>
      <c r="O482" s="449"/>
    </row>
    <row r="483" spans="2:15" s="173" customFormat="1" ht="25.5" customHeight="1">
      <c r="B483" s="122"/>
      <c r="C483" s="1"/>
      <c r="D483" s="1"/>
      <c r="E483" s="1"/>
      <c r="K483" s="209"/>
      <c r="M483" s="364"/>
      <c r="O483" s="449"/>
    </row>
    <row r="484" spans="2:15" s="173" customFormat="1" ht="25.5" customHeight="1">
      <c r="B484" s="122"/>
      <c r="C484" s="1"/>
      <c r="D484" s="1"/>
      <c r="E484" s="1"/>
      <c r="K484" s="209"/>
      <c r="M484" s="364"/>
      <c r="O484" s="449"/>
    </row>
    <row r="485" spans="2:15" s="173" customFormat="1" ht="25.5" customHeight="1">
      <c r="B485" s="122"/>
      <c r="C485" s="1"/>
      <c r="D485" s="1"/>
      <c r="E485" s="1"/>
      <c r="K485" s="209"/>
      <c r="M485" s="364"/>
      <c r="O485" s="449"/>
    </row>
    <row r="486" spans="2:15" s="173" customFormat="1" ht="25.5" customHeight="1">
      <c r="B486" s="122"/>
      <c r="C486" s="1"/>
      <c r="D486" s="1"/>
      <c r="E486" s="1"/>
      <c r="K486" s="209"/>
      <c r="M486" s="364"/>
      <c r="O486" s="449"/>
    </row>
    <row r="487" spans="2:15" s="173" customFormat="1" ht="25.5" customHeight="1">
      <c r="B487" s="122"/>
      <c r="C487" s="1"/>
      <c r="D487" s="1"/>
      <c r="E487" s="1"/>
      <c r="K487" s="209"/>
      <c r="M487" s="364"/>
      <c r="O487" s="449"/>
    </row>
    <row r="488" spans="2:15" s="173" customFormat="1" ht="25.5" customHeight="1">
      <c r="B488" s="122"/>
      <c r="C488" s="1"/>
      <c r="D488" s="1"/>
      <c r="E488" s="1"/>
      <c r="K488" s="209"/>
      <c r="M488" s="364"/>
      <c r="O488" s="449"/>
    </row>
    <row r="489" spans="2:15" s="173" customFormat="1" ht="25.5" customHeight="1">
      <c r="B489" s="122"/>
      <c r="C489" s="1"/>
      <c r="D489" s="1"/>
      <c r="E489" s="1"/>
      <c r="K489" s="209"/>
      <c r="M489" s="364"/>
      <c r="O489" s="449"/>
    </row>
    <row r="490" spans="2:15" s="173" customFormat="1" ht="25.5" customHeight="1">
      <c r="B490" s="122"/>
      <c r="C490" s="1"/>
      <c r="D490" s="1"/>
      <c r="E490" s="1"/>
      <c r="K490" s="209"/>
      <c r="M490" s="364"/>
      <c r="O490" s="449"/>
    </row>
    <row r="491" spans="2:15" s="173" customFormat="1" ht="25.5" customHeight="1">
      <c r="B491" s="122"/>
      <c r="C491" s="1"/>
      <c r="D491" s="1"/>
      <c r="E491" s="1"/>
      <c r="K491" s="209"/>
      <c r="M491" s="364"/>
      <c r="O491" s="449"/>
    </row>
    <row r="492" spans="2:15" s="173" customFormat="1" ht="25.5" customHeight="1">
      <c r="B492" s="122"/>
      <c r="C492" s="1"/>
      <c r="D492" s="1"/>
      <c r="E492" s="1"/>
      <c r="K492" s="209"/>
      <c r="M492" s="364"/>
      <c r="O492" s="449"/>
    </row>
    <row r="493" spans="2:15" s="173" customFormat="1" ht="25.5" customHeight="1">
      <c r="B493" s="122"/>
      <c r="C493" s="1"/>
      <c r="D493" s="1"/>
      <c r="E493" s="1"/>
      <c r="K493" s="209"/>
      <c r="M493" s="364"/>
      <c r="O493" s="449"/>
    </row>
    <row r="494" spans="2:15" s="173" customFormat="1" ht="25.5" customHeight="1">
      <c r="B494" s="122"/>
      <c r="C494" s="1"/>
      <c r="D494" s="1"/>
      <c r="E494" s="1"/>
      <c r="K494" s="209"/>
      <c r="M494" s="364"/>
      <c r="O494" s="449"/>
    </row>
    <row r="495" spans="2:15" s="173" customFormat="1" ht="25.5" customHeight="1">
      <c r="B495" s="122"/>
      <c r="C495" s="1"/>
      <c r="D495" s="1"/>
      <c r="E495" s="1"/>
      <c r="K495" s="209"/>
      <c r="M495" s="364"/>
      <c r="O495" s="449"/>
    </row>
    <row r="496" spans="2:15" s="173" customFormat="1" ht="25.5" customHeight="1">
      <c r="B496" s="122"/>
      <c r="C496" s="1"/>
      <c r="D496" s="1"/>
      <c r="E496" s="1"/>
      <c r="K496" s="209"/>
      <c r="M496" s="364"/>
      <c r="O496" s="449"/>
    </row>
    <row r="497" spans="2:15" s="173" customFormat="1" ht="25.5" customHeight="1">
      <c r="B497" s="122"/>
      <c r="C497" s="1"/>
      <c r="D497" s="1"/>
      <c r="E497" s="1"/>
      <c r="K497" s="209"/>
      <c r="M497" s="364"/>
      <c r="O497" s="449"/>
    </row>
    <row r="498" spans="2:15" s="173" customFormat="1" ht="25.5" customHeight="1">
      <c r="B498" s="122"/>
      <c r="C498" s="1"/>
      <c r="D498" s="1"/>
      <c r="E498" s="1"/>
      <c r="K498" s="209"/>
      <c r="M498" s="364"/>
      <c r="O498" s="449"/>
    </row>
    <row r="499" spans="2:15" s="173" customFormat="1" ht="25.5" customHeight="1">
      <c r="B499" s="122"/>
      <c r="C499" s="1"/>
      <c r="D499" s="1"/>
      <c r="E499" s="1"/>
      <c r="K499" s="209"/>
      <c r="M499" s="364"/>
      <c r="O499" s="449"/>
    </row>
    <row r="500" spans="2:15" s="173" customFormat="1" ht="25.5" customHeight="1">
      <c r="B500" s="122"/>
      <c r="C500" s="1"/>
      <c r="D500" s="1"/>
      <c r="E500" s="1"/>
      <c r="K500" s="209"/>
      <c r="M500" s="364"/>
      <c r="O500" s="449"/>
    </row>
    <row r="501" spans="2:15" s="173" customFormat="1" ht="25.5" customHeight="1">
      <c r="B501" s="122"/>
      <c r="C501" s="1"/>
      <c r="D501" s="1"/>
      <c r="E501" s="1"/>
      <c r="K501" s="209"/>
      <c r="M501" s="364"/>
      <c r="O501" s="449"/>
    </row>
    <row r="502" spans="2:15" s="173" customFormat="1" ht="25.5" customHeight="1">
      <c r="B502" s="122"/>
      <c r="C502" s="1"/>
      <c r="D502" s="1"/>
      <c r="E502" s="1"/>
      <c r="K502" s="209"/>
      <c r="M502" s="364"/>
      <c r="O502" s="449"/>
    </row>
    <row r="503" spans="2:15" s="173" customFormat="1" ht="25.5" customHeight="1">
      <c r="B503" s="122"/>
      <c r="C503" s="1"/>
      <c r="D503" s="1"/>
      <c r="E503" s="1"/>
      <c r="K503" s="209"/>
      <c r="M503" s="364"/>
      <c r="O503" s="449"/>
    </row>
    <row r="504" spans="2:15" s="173" customFormat="1" ht="25.5" customHeight="1">
      <c r="B504" s="122"/>
      <c r="C504" s="1"/>
      <c r="D504" s="1"/>
      <c r="E504" s="1"/>
      <c r="K504" s="209"/>
      <c r="M504" s="364"/>
      <c r="O504" s="449"/>
    </row>
    <row r="505" spans="2:15" s="173" customFormat="1" ht="25.5" customHeight="1">
      <c r="B505" s="122"/>
      <c r="C505" s="1"/>
      <c r="D505" s="1"/>
      <c r="E505" s="1"/>
      <c r="K505" s="209"/>
      <c r="M505" s="364"/>
      <c r="O505" s="449"/>
    </row>
    <row r="506" spans="2:15" s="173" customFormat="1" ht="25.5" customHeight="1">
      <c r="B506" s="122"/>
      <c r="C506" s="1"/>
      <c r="D506" s="1"/>
      <c r="E506" s="1"/>
      <c r="K506" s="209"/>
      <c r="M506" s="364"/>
      <c r="O506" s="449"/>
    </row>
    <row r="507" spans="2:15" s="173" customFormat="1" ht="25.5" customHeight="1">
      <c r="B507" s="122"/>
      <c r="C507" s="1"/>
      <c r="D507" s="1"/>
      <c r="E507" s="1"/>
      <c r="K507" s="209"/>
      <c r="M507" s="364"/>
      <c r="O507" s="449"/>
    </row>
    <row r="508" spans="2:15" s="173" customFormat="1" ht="25.5" customHeight="1">
      <c r="B508" s="122"/>
      <c r="C508" s="1"/>
      <c r="D508" s="1"/>
      <c r="E508" s="1"/>
      <c r="K508" s="209"/>
      <c r="M508" s="364"/>
      <c r="O508" s="449"/>
    </row>
    <row r="509" spans="2:15" s="173" customFormat="1" ht="25.5" customHeight="1">
      <c r="B509" s="122"/>
      <c r="C509" s="1"/>
      <c r="D509" s="1"/>
      <c r="E509" s="1"/>
      <c r="K509" s="209"/>
      <c r="M509" s="364"/>
      <c r="O509" s="449"/>
    </row>
    <row r="510" spans="2:15" s="173" customFormat="1" ht="25.5" customHeight="1">
      <c r="B510" s="122"/>
      <c r="C510" s="1"/>
      <c r="D510" s="1"/>
      <c r="E510" s="1"/>
      <c r="K510" s="209"/>
      <c r="M510" s="364"/>
      <c r="O510" s="449"/>
    </row>
    <row r="511" spans="2:15" s="173" customFormat="1" ht="25.5" customHeight="1">
      <c r="B511" s="122"/>
      <c r="C511" s="1"/>
      <c r="D511" s="1"/>
      <c r="E511" s="1"/>
      <c r="K511" s="209"/>
      <c r="M511" s="364"/>
      <c r="O511" s="449"/>
    </row>
    <row r="512" spans="2:15" s="173" customFormat="1" ht="25.5" customHeight="1">
      <c r="B512" s="122"/>
      <c r="C512" s="1"/>
      <c r="D512" s="1"/>
      <c r="E512" s="1"/>
      <c r="K512" s="209"/>
      <c r="M512" s="364"/>
      <c r="O512" s="449"/>
    </row>
    <row r="513" spans="2:15" s="173" customFormat="1" ht="25.5" customHeight="1">
      <c r="B513" s="122"/>
      <c r="C513" s="1"/>
      <c r="D513" s="1"/>
      <c r="E513" s="1"/>
      <c r="K513" s="209"/>
      <c r="M513" s="364"/>
      <c r="O513" s="449"/>
    </row>
    <row r="514" spans="2:15" s="173" customFormat="1" ht="25.5" customHeight="1">
      <c r="B514" s="122"/>
      <c r="C514" s="1"/>
      <c r="D514" s="1"/>
      <c r="E514" s="1"/>
      <c r="K514" s="209"/>
      <c r="M514" s="364"/>
      <c r="O514" s="449"/>
    </row>
    <row r="515" spans="2:15" s="173" customFormat="1" ht="25.5" customHeight="1">
      <c r="B515" s="122"/>
      <c r="C515" s="1"/>
      <c r="D515" s="1"/>
      <c r="E515" s="1"/>
      <c r="K515" s="209"/>
      <c r="M515" s="364"/>
      <c r="O515" s="449"/>
    </row>
    <row r="516" spans="2:15" s="173" customFormat="1" ht="25.5" customHeight="1">
      <c r="B516" s="122"/>
      <c r="C516" s="1"/>
      <c r="D516" s="1"/>
      <c r="E516" s="1"/>
      <c r="K516" s="209"/>
      <c r="M516" s="364"/>
      <c r="O516" s="449"/>
    </row>
    <row r="517" spans="2:15" s="173" customFormat="1" ht="25.5" customHeight="1">
      <c r="B517" s="122"/>
      <c r="C517" s="1"/>
      <c r="D517" s="1"/>
      <c r="E517" s="1"/>
      <c r="K517" s="209"/>
      <c r="M517" s="364"/>
      <c r="O517" s="449"/>
    </row>
    <row r="518" spans="2:15" s="173" customFormat="1" ht="25.5" customHeight="1">
      <c r="B518" s="122"/>
      <c r="C518" s="1"/>
      <c r="D518" s="1"/>
      <c r="E518" s="1"/>
      <c r="K518" s="209"/>
      <c r="M518" s="364"/>
      <c r="O518" s="449"/>
    </row>
    <row r="519" spans="2:15" s="173" customFormat="1" ht="25.5" customHeight="1">
      <c r="B519" s="122"/>
      <c r="C519" s="1"/>
      <c r="D519" s="1"/>
      <c r="E519" s="1"/>
      <c r="K519" s="209"/>
      <c r="M519" s="364"/>
      <c r="O519" s="449"/>
    </row>
    <row r="520" spans="2:15" s="173" customFormat="1" ht="25.5" customHeight="1">
      <c r="B520" s="122"/>
      <c r="C520" s="1"/>
      <c r="D520" s="1"/>
      <c r="E520" s="1"/>
      <c r="K520" s="209"/>
      <c r="M520" s="364"/>
      <c r="O520" s="449"/>
    </row>
    <row r="521" spans="2:15" s="173" customFormat="1" ht="25.5" customHeight="1">
      <c r="B521" s="122"/>
      <c r="C521" s="1"/>
      <c r="D521" s="1"/>
      <c r="E521" s="1"/>
      <c r="K521" s="209"/>
      <c r="M521" s="364"/>
      <c r="O521" s="449"/>
    </row>
    <row r="522" spans="2:15" s="173" customFormat="1" ht="25.5" customHeight="1">
      <c r="B522" s="122"/>
      <c r="C522" s="1"/>
      <c r="D522" s="1"/>
      <c r="E522" s="1"/>
      <c r="K522" s="209"/>
      <c r="M522" s="364"/>
      <c r="O522" s="449"/>
    </row>
    <row r="523" spans="2:15" s="173" customFormat="1" ht="25.5" customHeight="1">
      <c r="B523" s="122"/>
      <c r="C523" s="1"/>
      <c r="D523" s="1"/>
      <c r="E523" s="1"/>
      <c r="K523" s="209"/>
      <c r="M523" s="364"/>
      <c r="O523" s="449"/>
    </row>
    <row r="524" spans="2:15" s="173" customFormat="1" ht="25.5" customHeight="1">
      <c r="B524" s="122"/>
      <c r="C524" s="1"/>
      <c r="D524" s="1"/>
      <c r="E524" s="1"/>
      <c r="K524" s="209"/>
      <c r="M524" s="364"/>
      <c r="O524" s="449"/>
    </row>
    <row r="525" spans="2:15" s="173" customFormat="1" ht="25.5" customHeight="1">
      <c r="B525" s="122"/>
      <c r="C525" s="1"/>
      <c r="D525" s="1"/>
      <c r="E525" s="1"/>
      <c r="K525" s="209"/>
      <c r="M525" s="364"/>
      <c r="O525" s="449"/>
    </row>
    <row r="526" spans="2:15" s="173" customFormat="1" ht="25.5" customHeight="1">
      <c r="B526" s="122"/>
      <c r="C526" s="1"/>
      <c r="D526" s="1"/>
      <c r="E526" s="1"/>
      <c r="K526" s="209"/>
      <c r="M526" s="364"/>
      <c r="O526" s="449"/>
    </row>
    <row r="527" spans="2:15" s="173" customFormat="1" ht="25.5" customHeight="1">
      <c r="B527" s="122"/>
      <c r="C527" s="1"/>
      <c r="D527" s="1"/>
      <c r="E527" s="1"/>
      <c r="K527" s="209"/>
      <c r="M527" s="364"/>
      <c r="O527" s="449"/>
    </row>
    <row r="528" spans="2:15" s="173" customFormat="1" ht="25.5" customHeight="1">
      <c r="B528" s="122"/>
      <c r="C528" s="1"/>
      <c r="D528" s="1"/>
      <c r="E528" s="1"/>
      <c r="K528" s="209"/>
      <c r="M528" s="364"/>
      <c r="O528" s="449"/>
    </row>
    <row r="529" spans="2:15" s="173" customFormat="1" ht="25.5" customHeight="1">
      <c r="B529" s="122"/>
      <c r="C529" s="1"/>
      <c r="D529" s="1"/>
      <c r="E529" s="1"/>
      <c r="K529" s="209"/>
      <c r="M529" s="364"/>
      <c r="O529" s="449"/>
    </row>
    <row r="530" spans="2:15" s="173" customFormat="1" ht="25.5" customHeight="1">
      <c r="B530" s="122"/>
      <c r="C530" s="1"/>
      <c r="D530" s="1"/>
      <c r="E530" s="1"/>
      <c r="K530" s="209"/>
      <c r="M530" s="364"/>
      <c r="O530" s="449"/>
    </row>
    <row r="531" spans="2:15" s="173" customFormat="1" ht="25.5" customHeight="1">
      <c r="B531" s="122"/>
      <c r="C531" s="1"/>
      <c r="D531" s="1"/>
      <c r="E531" s="1"/>
      <c r="K531" s="209"/>
      <c r="M531" s="364"/>
      <c r="O531" s="449"/>
    </row>
    <row r="532" spans="2:15" s="173" customFormat="1" ht="25.5" customHeight="1">
      <c r="B532" s="122"/>
      <c r="C532" s="1"/>
      <c r="D532" s="1"/>
      <c r="E532" s="1"/>
      <c r="K532" s="209"/>
      <c r="M532" s="364"/>
      <c r="O532" s="449"/>
    </row>
    <row r="533" spans="2:15" s="173" customFormat="1" ht="25.5" customHeight="1">
      <c r="B533" s="122"/>
      <c r="C533" s="1"/>
      <c r="D533" s="1"/>
      <c r="E533" s="1"/>
      <c r="K533" s="209"/>
      <c r="M533" s="364"/>
      <c r="O533" s="449"/>
    </row>
    <row r="534" spans="2:15" s="173" customFormat="1" ht="25.5" customHeight="1">
      <c r="B534" s="122"/>
      <c r="C534" s="1"/>
      <c r="D534" s="1"/>
      <c r="E534" s="1"/>
      <c r="K534" s="209"/>
      <c r="M534" s="364"/>
      <c r="O534" s="449"/>
    </row>
    <row r="535" spans="2:15" s="173" customFormat="1" ht="25.5" customHeight="1">
      <c r="B535" s="122"/>
      <c r="C535" s="1"/>
      <c r="D535" s="1"/>
      <c r="E535" s="1"/>
      <c r="K535" s="209"/>
      <c r="M535" s="364"/>
      <c r="O535" s="449"/>
    </row>
    <row r="536" spans="2:15" s="173" customFormat="1" ht="25.5" customHeight="1">
      <c r="B536" s="122"/>
      <c r="C536" s="1"/>
      <c r="D536" s="1"/>
      <c r="E536" s="1"/>
      <c r="K536" s="209"/>
      <c r="M536" s="364"/>
      <c r="O536" s="449"/>
    </row>
    <row r="537" spans="2:15" s="173" customFormat="1" ht="25.5" customHeight="1">
      <c r="B537" s="122"/>
      <c r="C537" s="1"/>
      <c r="D537" s="1"/>
      <c r="E537" s="1"/>
      <c r="K537" s="209"/>
      <c r="M537" s="364"/>
      <c r="O537" s="449"/>
    </row>
    <row r="538" spans="2:15" s="173" customFormat="1" ht="25.5" customHeight="1">
      <c r="B538" s="122"/>
      <c r="C538" s="1"/>
      <c r="D538" s="1"/>
      <c r="E538" s="1"/>
      <c r="K538" s="209"/>
      <c r="M538" s="364"/>
      <c r="O538" s="449"/>
    </row>
    <row r="539" spans="2:15" s="173" customFormat="1" ht="25.5" customHeight="1">
      <c r="B539" s="122"/>
      <c r="C539" s="1"/>
      <c r="D539" s="1"/>
      <c r="E539" s="1"/>
      <c r="K539" s="209"/>
      <c r="M539" s="364"/>
      <c r="O539" s="449"/>
    </row>
    <row r="540" spans="2:15" s="173" customFormat="1" ht="25.5" customHeight="1">
      <c r="B540" s="122"/>
      <c r="C540" s="1"/>
      <c r="D540" s="1"/>
      <c r="E540" s="1"/>
      <c r="K540" s="209"/>
      <c r="M540" s="364"/>
      <c r="O540" s="449"/>
    </row>
    <row r="541" spans="2:15" s="173" customFormat="1" ht="25.5" customHeight="1">
      <c r="B541" s="122"/>
      <c r="C541" s="1"/>
      <c r="D541" s="1"/>
      <c r="E541" s="1"/>
      <c r="K541" s="209"/>
      <c r="M541" s="364"/>
      <c r="O541" s="449"/>
    </row>
    <row r="542" spans="2:15" s="173" customFormat="1" ht="25.5" customHeight="1">
      <c r="B542" s="122"/>
      <c r="C542" s="1"/>
      <c r="D542" s="1"/>
      <c r="E542" s="1"/>
      <c r="K542" s="209"/>
      <c r="M542" s="364"/>
      <c r="O542" s="449"/>
    </row>
    <row r="543" spans="2:15" s="173" customFormat="1" ht="25.5" customHeight="1">
      <c r="B543" s="122"/>
      <c r="C543" s="1"/>
      <c r="D543" s="1"/>
      <c r="E543" s="1"/>
      <c r="K543" s="209"/>
      <c r="M543" s="364"/>
      <c r="O543" s="449"/>
    </row>
    <row r="544" spans="2:15" s="173" customFormat="1" ht="25.5" customHeight="1">
      <c r="B544" s="122"/>
      <c r="C544" s="1"/>
      <c r="D544" s="1"/>
      <c r="E544" s="1"/>
      <c r="K544" s="209"/>
      <c r="M544" s="364"/>
      <c r="O544" s="449"/>
    </row>
    <row r="545" spans="2:15" s="173" customFormat="1" ht="25.5" customHeight="1">
      <c r="B545" s="122"/>
      <c r="C545" s="1"/>
      <c r="D545" s="1"/>
      <c r="E545" s="1"/>
      <c r="K545" s="209"/>
      <c r="M545" s="364"/>
      <c r="O545" s="449"/>
    </row>
    <row r="546" spans="2:15" s="173" customFormat="1" ht="25.5" customHeight="1">
      <c r="B546" s="122"/>
      <c r="C546" s="1"/>
      <c r="D546" s="1"/>
      <c r="E546" s="1"/>
      <c r="K546" s="209"/>
      <c r="M546" s="364"/>
      <c r="O546" s="449"/>
    </row>
    <row r="547" spans="2:15" s="173" customFormat="1" ht="25.5" customHeight="1">
      <c r="B547" s="122"/>
      <c r="C547" s="1"/>
      <c r="D547" s="1"/>
      <c r="E547" s="1"/>
      <c r="K547" s="209"/>
      <c r="M547" s="364"/>
      <c r="O547" s="449"/>
    </row>
    <row r="548" spans="2:15" s="173" customFormat="1" ht="25.5" customHeight="1">
      <c r="B548" s="122"/>
      <c r="C548" s="1"/>
      <c r="D548" s="1"/>
      <c r="E548" s="1"/>
      <c r="K548" s="209"/>
      <c r="M548" s="364"/>
      <c r="O548" s="449"/>
    </row>
    <row r="549" spans="2:15" s="173" customFormat="1" ht="25.5" customHeight="1">
      <c r="B549" s="122"/>
      <c r="C549" s="1"/>
      <c r="D549" s="1"/>
      <c r="E549" s="1"/>
      <c r="K549" s="209"/>
      <c r="M549" s="364"/>
      <c r="O549" s="449"/>
    </row>
    <row r="550" spans="2:15" s="173" customFormat="1" ht="25.5" customHeight="1">
      <c r="B550" s="122"/>
      <c r="C550" s="1"/>
      <c r="D550" s="1"/>
      <c r="E550" s="1"/>
      <c r="K550" s="209"/>
      <c r="M550" s="364"/>
      <c r="O550" s="449"/>
    </row>
    <row r="551" spans="2:15" s="173" customFormat="1" ht="25.5" customHeight="1">
      <c r="B551" s="122"/>
      <c r="C551" s="1"/>
      <c r="D551" s="1"/>
      <c r="E551" s="1"/>
      <c r="K551" s="209"/>
      <c r="M551" s="364"/>
      <c r="O551" s="449"/>
    </row>
    <row r="552" spans="2:15" s="173" customFormat="1" ht="25.5" customHeight="1">
      <c r="B552" s="122"/>
      <c r="C552" s="1"/>
      <c r="D552" s="1"/>
      <c r="E552" s="1"/>
      <c r="K552" s="209"/>
      <c r="M552" s="364"/>
      <c r="O552" s="449"/>
    </row>
    <row r="553" spans="2:15" s="173" customFormat="1" ht="25.5" customHeight="1">
      <c r="B553" s="122"/>
      <c r="C553" s="1"/>
      <c r="D553" s="1"/>
      <c r="E553" s="1"/>
      <c r="K553" s="209"/>
      <c r="M553" s="364"/>
      <c r="O553" s="449"/>
    </row>
    <row r="554" spans="2:15" s="173" customFormat="1" ht="25.5" customHeight="1">
      <c r="B554" s="122"/>
      <c r="C554" s="1"/>
      <c r="D554" s="1"/>
      <c r="E554" s="1"/>
      <c r="K554" s="209"/>
      <c r="M554" s="364"/>
      <c r="O554" s="449"/>
    </row>
    <row r="555" spans="2:15" s="173" customFormat="1" ht="25.5" customHeight="1">
      <c r="B555" s="122"/>
      <c r="C555" s="1"/>
      <c r="D555" s="1"/>
      <c r="E555" s="1"/>
      <c r="K555" s="209"/>
      <c r="M555" s="364"/>
      <c r="O555" s="449"/>
    </row>
    <row r="556" spans="2:15" s="173" customFormat="1" ht="25.5" customHeight="1">
      <c r="B556" s="122"/>
      <c r="C556" s="1"/>
      <c r="D556" s="1"/>
      <c r="E556" s="1"/>
      <c r="K556" s="209"/>
      <c r="M556" s="364"/>
      <c r="O556" s="449"/>
    </row>
    <row r="557" spans="2:15" s="173" customFormat="1" ht="25.5" customHeight="1">
      <c r="B557" s="122"/>
      <c r="C557" s="1"/>
      <c r="D557" s="1"/>
      <c r="E557" s="1"/>
      <c r="K557" s="209"/>
      <c r="M557" s="364"/>
      <c r="O557" s="449"/>
    </row>
    <row r="558" spans="2:15" s="173" customFormat="1" ht="25.5" customHeight="1">
      <c r="B558" s="122"/>
      <c r="C558" s="1"/>
      <c r="D558" s="1"/>
      <c r="E558" s="1"/>
      <c r="K558" s="209"/>
      <c r="M558" s="364"/>
      <c r="O558" s="449"/>
    </row>
    <row r="559" spans="2:15" s="173" customFormat="1" ht="25.5" customHeight="1">
      <c r="B559" s="122"/>
      <c r="C559" s="1"/>
      <c r="D559" s="1"/>
      <c r="E559" s="1"/>
      <c r="K559" s="209"/>
      <c r="M559" s="364"/>
      <c r="O559" s="449"/>
    </row>
    <row r="560" spans="2:15" s="173" customFormat="1" ht="25.5" customHeight="1">
      <c r="B560" s="122"/>
      <c r="C560" s="1"/>
      <c r="D560" s="1"/>
      <c r="E560" s="1"/>
      <c r="K560" s="209"/>
      <c r="M560" s="364"/>
      <c r="O560" s="449"/>
    </row>
    <row r="561" spans="2:15" s="173" customFormat="1" ht="25.5" customHeight="1">
      <c r="B561" s="122"/>
      <c r="C561" s="1"/>
      <c r="D561" s="1"/>
      <c r="E561" s="1"/>
      <c r="K561" s="209"/>
      <c r="M561" s="364"/>
      <c r="O561" s="449"/>
    </row>
    <row r="562" spans="2:15" s="173" customFormat="1" ht="25.5" customHeight="1">
      <c r="B562" s="122"/>
      <c r="C562" s="1"/>
      <c r="D562" s="1"/>
      <c r="E562" s="1"/>
      <c r="K562" s="209"/>
      <c r="M562" s="364"/>
      <c r="O562" s="449"/>
    </row>
    <row r="563" spans="2:15" s="173" customFormat="1" ht="25.5" customHeight="1">
      <c r="B563" s="122"/>
      <c r="C563" s="1"/>
      <c r="D563" s="1"/>
      <c r="E563" s="1"/>
      <c r="K563" s="209"/>
      <c r="M563" s="364"/>
      <c r="O563" s="449"/>
    </row>
    <row r="564" spans="2:15" s="173" customFormat="1" ht="25.5" customHeight="1">
      <c r="B564" s="122"/>
      <c r="C564" s="1"/>
      <c r="D564" s="1"/>
      <c r="E564" s="1"/>
      <c r="K564" s="209"/>
      <c r="M564" s="364"/>
      <c r="O564" s="449"/>
    </row>
    <row r="565" spans="2:15" s="173" customFormat="1" ht="25.5" customHeight="1">
      <c r="B565" s="122"/>
      <c r="C565" s="1"/>
      <c r="D565" s="1"/>
      <c r="E565" s="1"/>
      <c r="K565" s="209"/>
      <c r="M565" s="364"/>
      <c r="O565" s="449"/>
    </row>
    <row r="566" spans="2:15" s="173" customFormat="1" ht="25.5" customHeight="1">
      <c r="B566" s="122"/>
      <c r="C566" s="1"/>
      <c r="D566" s="1"/>
      <c r="E566" s="1"/>
      <c r="K566" s="209"/>
      <c r="M566" s="364"/>
      <c r="O566" s="449"/>
    </row>
    <row r="567" spans="2:15" s="173" customFormat="1" ht="25.5" customHeight="1">
      <c r="B567" s="122"/>
      <c r="C567" s="1"/>
      <c r="D567" s="1"/>
      <c r="E567" s="1"/>
      <c r="K567" s="209"/>
      <c r="M567" s="364"/>
      <c r="O567" s="449"/>
    </row>
    <row r="568" spans="2:15" s="173" customFormat="1" ht="25.5" customHeight="1">
      <c r="B568" s="122"/>
      <c r="C568" s="1"/>
      <c r="D568" s="1"/>
      <c r="E568" s="1"/>
      <c r="K568" s="209"/>
      <c r="M568" s="364"/>
      <c r="O568" s="449"/>
    </row>
    <row r="569" spans="2:15" s="173" customFormat="1" ht="25.5" customHeight="1">
      <c r="B569" s="122"/>
      <c r="C569" s="1"/>
      <c r="D569" s="1"/>
      <c r="E569" s="1"/>
      <c r="K569" s="209"/>
      <c r="M569" s="364"/>
      <c r="O569" s="449"/>
    </row>
    <row r="570" spans="2:15" s="173" customFormat="1" ht="25.5" customHeight="1">
      <c r="B570" s="122"/>
      <c r="C570" s="1"/>
      <c r="D570" s="1"/>
      <c r="E570" s="1"/>
      <c r="K570" s="209"/>
      <c r="M570" s="364"/>
      <c r="O570" s="449"/>
    </row>
    <row r="571" spans="2:15" s="173" customFormat="1" ht="25.5" customHeight="1">
      <c r="B571" s="122"/>
      <c r="C571" s="1"/>
      <c r="D571" s="1"/>
      <c r="E571" s="1"/>
      <c r="K571" s="209"/>
      <c r="M571" s="364"/>
      <c r="O571" s="449"/>
    </row>
    <row r="572" spans="2:15" s="173" customFormat="1" ht="25.5" customHeight="1">
      <c r="B572" s="122"/>
      <c r="C572" s="1"/>
      <c r="D572" s="1"/>
      <c r="E572" s="1"/>
      <c r="K572" s="209"/>
      <c r="M572" s="364"/>
      <c r="O572" s="449"/>
    </row>
    <row r="573" spans="2:15" s="173" customFormat="1" ht="25.5" customHeight="1">
      <c r="B573" s="122"/>
      <c r="C573" s="1"/>
      <c r="D573" s="1"/>
      <c r="E573" s="1"/>
      <c r="K573" s="209"/>
      <c r="M573" s="364"/>
      <c r="O573" s="449"/>
    </row>
    <row r="574" spans="2:15" s="173" customFormat="1" ht="25.5" customHeight="1">
      <c r="B574" s="122"/>
      <c r="C574" s="1"/>
      <c r="D574" s="1"/>
      <c r="E574" s="1"/>
      <c r="K574" s="209"/>
      <c r="M574" s="364"/>
      <c r="O574" s="449"/>
    </row>
    <row r="575" spans="2:15" s="173" customFormat="1" ht="25.5" customHeight="1">
      <c r="B575" s="122"/>
      <c r="C575" s="1"/>
      <c r="D575" s="1"/>
      <c r="E575" s="1"/>
      <c r="K575" s="209"/>
      <c r="M575" s="364"/>
      <c r="O575" s="449"/>
    </row>
    <row r="576" spans="2:15" s="173" customFormat="1" ht="25.5" customHeight="1">
      <c r="B576" s="122"/>
      <c r="C576" s="1"/>
      <c r="D576" s="1"/>
      <c r="E576" s="1"/>
      <c r="K576" s="209"/>
      <c r="M576" s="364"/>
      <c r="O576" s="449"/>
    </row>
    <row r="577" spans="2:15" s="173" customFormat="1" ht="25.5" customHeight="1">
      <c r="B577" s="122"/>
      <c r="C577" s="1"/>
      <c r="D577" s="1"/>
      <c r="E577" s="1"/>
      <c r="K577" s="209"/>
      <c r="M577" s="364"/>
      <c r="O577" s="449"/>
    </row>
    <row r="578" spans="2:15" s="173" customFormat="1" ht="25.5" customHeight="1">
      <c r="B578" s="122"/>
      <c r="C578" s="1"/>
      <c r="D578" s="1"/>
      <c r="E578" s="1"/>
      <c r="K578" s="209"/>
      <c r="M578" s="364"/>
      <c r="O578" s="449"/>
    </row>
    <row r="579" spans="2:15" s="173" customFormat="1" ht="25.5" customHeight="1">
      <c r="B579" s="122"/>
      <c r="C579" s="1"/>
      <c r="D579" s="1"/>
      <c r="E579" s="1"/>
      <c r="K579" s="209"/>
      <c r="M579" s="364"/>
      <c r="O579" s="449"/>
    </row>
    <row r="580" spans="2:15" s="173" customFormat="1" ht="25.5" customHeight="1">
      <c r="B580" s="122"/>
      <c r="C580" s="1"/>
      <c r="D580" s="1"/>
      <c r="E580" s="1"/>
      <c r="K580" s="209"/>
      <c r="M580" s="364"/>
      <c r="O580" s="449"/>
    </row>
    <row r="581" spans="2:15" s="173" customFormat="1" ht="25.5" customHeight="1">
      <c r="B581" s="122"/>
      <c r="C581" s="1"/>
      <c r="D581" s="1"/>
      <c r="E581" s="1"/>
      <c r="K581" s="209"/>
      <c r="M581" s="364"/>
      <c r="O581" s="449"/>
    </row>
    <row r="582" spans="2:15" s="173" customFormat="1" ht="25.5" customHeight="1">
      <c r="B582" s="122"/>
      <c r="C582" s="1"/>
      <c r="D582" s="1"/>
      <c r="E582" s="1"/>
      <c r="K582" s="209"/>
      <c r="M582" s="364"/>
      <c r="O582" s="449"/>
    </row>
    <row r="583" spans="2:15" s="173" customFormat="1" ht="25.5" customHeight="1">
      <c r="B583" s="122"/>
      <c r="C583" s="1"/>
      <c r="D583" s="1"/>
      <c r="E583" s="1"/>
      <c r="K583" s="209"/>
      <c r="M583" s="364"/>
      <c r="O583" s="449"/>
    </row>
    <row r="584" spans="2:15" s="173" customFormat="1" ht="25.5" customHeight="1">
      <c r="B584" s="122"/>
      <c r="C584" s="1"/>
      <c r="D584" s="1"/>
      <c r="E584" s="1"/>
      <c r="K584" s="209"/>
      <c r="M584" s="364"/>
      <c r="O584" s="449"/>
    </row>
    <row r="585" spans="2:15" s="173" customFormat="1" ht="25.5" customHeight="1">
      <c r="B585" s="122"/>
      <c r="C585" s="1"/>
      <c r="D585" s="1"/>
      <c r="E585" s="1"/>
      <c r="K585" s="209"/>
      <c r="M585" s="364"/>
      <c r="O585" s="449"/>
    </row>
    <row r="586" spans="2:15" s="173" customFormat="1" ht="25.5" customHeight="1">
      <c r="B586" s="122"/>
      <c r="C586" s="1"/>
      <c r="D586" s="1"/>
      <c r="E586" s="1"/>
      <c r="K586" s="209"/>
      <c r="M586" s="364"/>
      <c r="O586" s="449"/>
    </row>
    <row r="587" spans="2:15" s="173" customFormat="1" ht="25.5" customHeight="1">
      <c r="B587" s="122"/>
      <c r="C587" s="1"/>
      <c r="D587" s="1"/>
      <c r="E587" s="1"/>
      <c r="K587" s="209"/>
      <c r="M587" s="364"/>
      <c r="O587" s="449"/>
    </row>
    <row r="588" spans="2:15" s="173" customFormat="1" ht="25.5" customHeight="1">
      <c r="B588" s="122"/>
      <c r="C588" s="1"/>
      <c r="D588" s="1"/>
      <c r="E588" s="1"/>
      <c r="K588" s="209"/>
      <c r="M588" s="364"/>
      <c r="O588" s="449"/>
    </row>
    <row r="589" spans="2:15" s="173" customFormat="1" ht="25.5" customHeight="1">
      <c r="B589" s="122"/>
      <c r="C589" s="1"/>
      <c r="D589" s="1"/>
      <c r="E589" s="1"/>
      <c r="K589" s="209"/>
      <c r="M589" s="364"/>
      <c r="O589" s="449"/>
    </row>
    <row r="590" spans="2:15" s="173" customFormat="1" ht="25.5" customHeight="1">
      <c r="B590" s="122"/>
      <c r="C590" s="1"/>
      <c r="D590" s="1"/>
      <c r="E590" s="1"/>
      <c r="K590" s="209"/>
      <c r="M590" s="364"/>
      <c r="O590" s="449"/>
    </row>
    <row r="591" spans="2:15" s="173" customFormat="1" ht="25.5" customHeight="1">
      <c r="B591" s="122"/>
      <c r="C591" s="1"/>
      <c r="D591" s="1"/>
      <c r="E591" s="1"/>
      <c r="K591" s="209"/>
      <c r="M591" s="364"/>
      <c r="O591" s="449"/>
    </row>
    <row r="592" spans="2:15" s="173" customFormat="1" ht="25.5" customHeight="1">
      <c r="B592" s="122"/>
      <c r="C592" s="1"/>
      <c r="D592" s="1"/>
      <c r="E592" s="1"/>
      <c r="K592" s="209"/>
      <c r="M592" s="364"/>
      <c r="O592" s="449"/>
    </row>
    <row r="593" spans="2:15" s="173" customFormat="1" ht="25.5" customHeight="1">
      <c r="B593" s="122"/>
      <c r="C593" s="1"/>
      <c r="D593" s="1"/>
      <c r="E593" s="1"/>
      <c r="K593" s="209"/>
      <c r="M593" s="364"/>
      <c r="O593" s="449"/>
    </row>
    <row r="594" spans="2:15" s="173" customFormat="1" ht="25.5" customHeight="1">
      <c r="B594" s="122"/>
      <c r="C594" s="1"/>
      <c r="D594" s="1"/>
      <c r="E594" s="1"/>
      <c r="K594" s="209"/>
      <c r="M594" s="364"/>
      <c r="O594" s="449"/>
    </row>
    <row r="595" spans="2:15" s="173" customFormat="1" ht="25.5" customHeight="1">
      <c r="B595" s="122"/>
      <c r="C595" s="1"/>
      <c r="D595" s="1"/>
      <c r="E595" s="1"/>
      <c r="K595" s="209"/>
      <c r="M595" s="364"/>
      <c r="O595" s="449"/>
    </row>
    <row r="596" spans="2:15" s="173" customFormat="1" ht="25.5" customHeight="1">
      <c r="B596" s="122"/>
      <c r="C596" s="1"/>
      <c r="D596" s="1"/>
      <c r="E596" s="1"/>
      <c r="K596" s="209"/>
      <c r="M596" s="364"/>
      <c r="O596" s="449"/>
    </row>
    <row r="597" spans="2:15" s="173" customFormat="1" ht="25.5" customHeight="1">
      <c r="B597" s="122"/>
      <c r="C597" s="1"/>
      <c r="D597" s="1"/>
      <c r="E597" s="1"/>
      <c r="K597" s="209"/>
      <c r="M597" s="364"/>
      <c r="O597" s="449"/>
    </row>
    <row r="598" spans="2:15" s="173" customFormat="1" ht="25.5" customHeight="1">
      <c r="B598" s="122"/>
      <c r="C598" s="1"/>
      <c r="D598" s="1"/>
      <c r="E598" s="1"/>
      <c r="K598" s="209"/>
      <c r="M598" s="364"/>
      <c r="O598" s="449"/>
    </row>
    <row r="599" spans="2:15" s="173" customFormat="1" ht="25.5" customHeight="1">
      <c r="B599" s="122"/>
      <c r="C599" s="1"/>
      <c r="D599" s="1"/>
      <c r="E599" s="1"/>
      <c r="K599" s="209"/>
      <c r="M599" s="364"/>
      <c r="O599" s="449"/>
    </row>
    <row r="600" spans="2:15" s="173" customFormat="1" ht="25.5" customHeight="1">
      <c r="B600" s="122"/>
      <c r="C600" s="1"/>
      <c r="D600" s="1"/>
      <c r="E600" s="1"/>
      <c r="K600" s="209"/>
      <c r="M600" s="364"/>
      <c r="O600" s="449"/>
    </row>
    <row r="601" spans="2:15" s="173" customFormat="1" ht="25.5" customHeight="1">
      <c r="B601" s="122"/>
      <c r="C601" s="1"/>
      <c r="D601" s="1"/>
      <c r="E601" s="1"/>
      <c r="K601" s="209"/>
      <c r="M601" s="364"/>
      <c r="O601" s="449"/>
    </row>
    <row r="602" spans="2:15" s="173" customFormat="1" ht="25.5" customHeight="1">
      <c r="B602" s="122"/>
      <c r="C602" s="1"/>
      <c r="D602" s="1"/>
      <c r="E602" s="1"/>
      <c r="K602" s="209"/>
      <c r="M602" s="364"/>
      <c r="O602" s="449"/>
    </row>
    <row r="603" spans="2:15" s="173" customFormat="1" ht="25.5" customHeight="1">
      <c r="B603" s="122"/>
      <c r="C603" s="1"/>
      <c r="D603" s="1"/>
      <c r="E603" s="1"/>
      <c r="K603" s="209"/>
      <c r="M603" s="364"/>
      <c r="O603" s="449"/>
    </row>
    <row r="604" spans="2:15" s="173" customFormat="1" ht="25.5" customHeight="1">
      <c r="B604" s="122"/>
      <c r="C604" s="1"/>
      <c r="D604" s="1"/>
      <c r="E604" s="1"/>
      <c r="K604" s="209"/>
      <c r="M604" s="364"/>
      <c r="O604" s="449"/>
    </row>
    <row r="605" spans="2:15" s="173" customFormat="1" ht="25.5" customHeight="1">
      <c r="B605" s="122"/>
      <c r="C605" s="1"/>
      <c r="D605" s="1"/>
      <c r="E605" s="1"/>
      <c r="K605" s="209"/>
      <c r="M605" s="364"/>
      <c r="O605" s="449"/>
    </row>
    <row r="606" spans="2:15" s="173" customFormat="1" ht="25.5" customHeight="1">
      <c r="B606" s="122"/>
      <c r="C606" s="1"/>
      <c r="D606" s="1"/>
      <c r="E606" s="1"/>
      <c r="K606" s="209"/>
      <c r="M606" s="364"/>
      <c r="O606" s="449"/>
    </row>
  </sheetData>
  <sheetProtection algorithmName="SHA-512" hashValue="GGzyNQ2dAOXY1ofJwdGio7JT/GAC9z+7OgYpLZKe+EGsEP7GXjX+L1nuvDwQ3cPlQy9stT7qI6ri0EifS9JzOQ==" saltValue="IBWxwzcx/wJ1RsBXVrp96w==" spinCount="100000" sheet="1" objects="1" scenarios="1" selectLockedCells="1"/>
  <mergeCells count="68">
    <mergeCell ref="J99:K99"/>
    <mergeCell ref="H100:I100"/>
    <mergeCell ref="J100:K100"/>
    <mergeCell ref="H99:I99"/>
    <mergeCell ref="J96:K96"/>
    <mergeCell ref="J97:K97"/>
    <mergeCell ref="H98:I98"/>
    <mergeCell ref="J98:K98"/>
    <mergeCell ref="H97:I97"/>
    <mergeCell ref="J219:M219"/>
    <mergeCell ref="D95:E95"/>
    <mergeCell ref="D96:E96"/>
    <mergeCell ref="D97:E97"/>
    <mergeCell ref="D98:E98"/>
    <mergeCell ref="D99:E99"/>
    <mergeCell ref="D100:E100"/>
    <mergeCell ref="F96:G96"/>
    <mergeCell ref="F97:G97"/>
    <mergeCell ref="F98:G98"/>
    <mergeCell ref="F99:G99"/>
    <mergeCell ref="F100:G100"/>
    <mergeCell ref="J95:K95"/>
    <mergeCell ref="H96:I96"/>
    <mergeCell ref="H95:I95"/>
    <mergeCell ref="J116:K116"/>
    <mergeCell ref="B4:C4"/>
    <mergeCell ref="F81:G81"/>
    <mergeCell ref="F82:G82"/>
    <mergeCell ref="F83:G83"/>
    <mergeCell ref="H81:I81"/>
    <mergeCell ref="H82:I82"/>
    <mergeCell ref="H83:I83"/>
    <mergeCell ref="B15:G17"/>
    <mergeCell ref="B19:F19"/>
    <mergeCell ref="B218:C218"/>
    <mergeCell ref="B113:F113"/>
    <mergeCell ref="B205:G207"/>
    <mergeCell ref="B208:F208"/>
    <mergeCell ref="B215:C215"/>
    <mergeCell ref="B216:C216"/>
    <mergeCell ref="F116:G116"/>
    <mergeCell ref="B133:F133"/>
    <mergeCell ref="B130:G132"/>
    <mergeCell ref="B134:F134"/>
    <mergeCell ref="C116:D116"/>
    <mergeCell ref="B170:G172"/>
    <mergeCell ref="B173:F173"/>
    <mergeCell ref="B174:F174"/>
    <mergeCell ref="B88:G90"/>
    <mergeCell ref="B91:F91"/>
    <mergeCell ref="B92:F92"/>
    <mergeCell ref="B109:G111"/>
    <mergeCell ref="B112:F112"/>
    <mergeCell ref="F103:G103"/>
    <mergeCell ref="F104:G104"/>
    <mergeCell ref="F95:G95"/>
    <mergeCell ref="M164:N164"/>
    <mergeCell ref="M165:N165"/>
    <mergeCell ref="M166:N166"/>
    <mergeCell ref="J117:K117"/>
    <mergeCell ref="F117:G117"/>
    <mergeCell ref="M161:N161"/>
    <mergeCell ref="M162:N162"/>
    <mergeCell ref="M163:N163"/>
    <mergeCell ref="F118:G118"/>
    <mergeCell ref="J119:K119"/>
    <mergeCell ref="F119:G119"/>
    <mergeCell ref="J118:K118"/>
  </mergeCells>
  <phoneticPr fontId="2" type="noConversion"/>
  <conditionalFormatting sqref="M25:N35 M61:N63 M39:N39">
    <cfRule type="cellIs" dxfId="52" priority="93" operator="greaterThan">
      <formula>0</formula>
    </cfRule>
  </conditionalFormatting>
  <conditionalFormatting sqref="H117 H104 J82:J83 I25:K35 I65:K68">
    <cfRule type="cellIs" dxfId="51" priority="92" operator="greaterThan">
      <formula>0</formula>
    </cfRule>
  </conditionalFormatting>
  <conditionalFormatting sqref="J83">
    <cfRule type="cellIs" dxfId="50" priority="91" operator="greaterThan">
      <formula>0</formula>
    </cfRule>
  </conditionalFormatting>
  <conditionalFormatting sqref="J82">
    <cfRule type="cellIs" dxfId="49" priority="90" operator="greaterThan">
      <formula>0</formula>
    </cfRule>
  </conditionalFormatting>
  <conditionalFormatting sqref="H104">
    <cfRule type="cellIs" dxfId="48" priority="87" operator="greaterThan">
      <formula>0</formula>
    </cfRule>
  </conditionalFormatting>
  <conditionalFormatting sqref="I25:I35">
    <cfRule type="cellIs" dxfId="47" priority="73" operator="lessThan">
      <formula>$J25</formula>
    </cfRule>
  </conditionalFormatting>
  <conditionalFormatting sqref="H119 J119">
    <cfRule type="cellIs" dxfId="46" priority="65" operator="greaterThan">
      <formula>0</formula>
    </cfRule>
  </conditionalFormatting>
  <conditionalFormatting sqref="J119">
    <cfRule type="cellIs" dxfId="45" priority="64" operator="greaterThan">
      <formula>0</formula>
    </cfRule>
  </conditionalFormatting>
  <conditionalFormatting sqref="H118 J118">
    <cfRule type="cellIs" dxfId="44" priority="63" operator="greaterThan">
      <formula>0</formula>
    </cfRule>
  </conditionalFormatting>
  <conditionalFormatting sqref="J118">
    <cfRule type="cellIs" dxfId="43" priority="62" operator="greaterThan">
      <formula>0</formula>
    </cfRule>
  </conditionalFormatting>
  <conditionalFormatting sqref="M65:N65 M67:N67">
    <cfRule type="cellIs" dxfId="42" priority="31" operator="greaterThan">
      <formula>0</formula>
    </cfRule>
  </conditionalFormatting>
  <conditionalFormatting sqref="I65:K68">
    <cfRule type="cellIs" dxfId="41" priority="42" operator="lessThan">
      <formula>$J65</formula>
    </cfRule>
  </conditionalFormatting>
  <conditionalFormatting sqref="M66:N66 M68:N68">
    <cfRule type="cellIs" dxfId="40" priority="37" operator="greaterThan">
      <formula>0</formula>
    </cfRule>
  </conditionalFormatting>
  <conditionalFormatting sqref="M66:N66 M68:N68">
    <cfRule type="cellIs" dxfId="39" priority="34" operator="greaterThan">
      <formula>0</formula>
    </cfRule>
  </conditionalFormatting>
  <conditionalFormatting sqref="I74:J76">
    <cfRule type="cellIs" dxfId="38" priority="23" operator="greaterThan">
      <formula>0</formula>
    </cfRule>
  </conditionalFormatting>
  <conditionalFormatting sqref="M74:N75">
    <cfRule type="cellIs" dxfId="37" priority="24" operator="greaterThan">
      <formula>0</formula>
    </cfRule>
  </conditionalFormatting>
  <conditionalFormatting sqref="I74:J76">
    <cfRule type="cellIs" dxfId="36" priority="25" operator="lessThan">
      <formula>$J74</formula>
    </cfRule>
  </conditionalFormatting>
  <conditionalFormatting sqref="M76:N76">
    <cfRule type="cellIs" dxfId="35" priority="21" operator="greaterThan">
      <formula>0</formula>
    </cfRule>
  </conditionalFormatting>
  <conditionalFormatting sqref="K74:K76">
    <cfRule type="cellIs" dxfId="34" priority="19" operator="greaterThan">
      <formula>0</formula>
    </cfRule>
  </conditionalFormatting>
  <conditionalFormatting sqref="M42:N42 M44:N44 M46:N46 M48:N48 M50:N50 M52:N52 M54:N54 M56:N56 M58:N58">
    <cfRule type="cellIs" dxfId="33" priority="8" operator="greaterThan">
      <formula>0</formula>
    </cfRule>
  </conditionalFormatting>
  <conditionalFormatting sqref="M65:N65 M67:N67">
    <cfRule type="cellIs" dxfId="32" priority="1" operator="greaterThan">
      <formula>0</formula>
    </cfRule>
  </conditionalFormatting>
  <conditionalFormatting sqref="I41:K59">
    <cfRule type="cellIs" dxfId="31" priority="9" operator="greaterThan">
      <formula>0</formula>
    </cfRule>
  </conditionalFormatting>
  <conditionalFormatting sqref="M41:N41 M43:N43 M45:N45 M47:N47 M49:N49 M51:N51 M53:N53 M55:N55 M57:N57 M59:N59">
    <cfRule type="cellIs" dxfId="30" priority="7" operator="greaterThan">
      <formula>0</formula>
    </cfRule>
  </conditionalFormatting>
  <conditionalFormatting sqref="M42:N42 M44:N44 M46:N46 M48:N48 M50:N50 M52:N52 M54:N54 M56:N56 M58:N58">
    <cfRule type="cellIs" dxfId="29" priority="6" operator="greaterThan">
      <formula>0</formula>
    </cfRule>
  </conditionalFormatting>
  <conditionalFormatting sqref="M41:N41 M43:N43 M45:N45 M47:N47 M49:N49 M51:N51 M53:N53 M55:N55 M57:N57 M59:N59">
    <cfRule type="cellIs" dxfId="28" priority="5" operator="greaterThan">
      <formula>0</formula>
    </cfRule>
  </conditionalFormatting>
  <conditionalFormatting sqref="N41:N59">
    <cfRule type="cellIs" dxfId="27" priority="4" operator="greaterThan">
      <formula>0</formula>
    </cfRule>
  </conditionalFormatting>
  <conditionalFormatting sqref="I41:I59">
    <cfRule type="cellIs" dxfId="26" priority="10" operator="lessThan">
      <formula>$J41</formula>
    </cfRule>
  </conditionalFormatting>
  <conditionalFormatting sqref="M66:N66 M68:N68">
    <cfRule type="cellIs" dxfId="25" priority="3" operator="greaterThan">
      <formula>0</formula>
    </cfRule>
  </conditionalFormatting>
  <conditionalFormatting sqref="M65:N65 M67:N67">
    <cfRule type="cellIs" dxfId="24" priority="2" operator="greaterThan">
      <formula>0</formula>
    </cfRule>
  </conditionalFormatting>
  <hyperlinks>
    <hyperlink ref="B10:C10" r:id="rId1" display="    E-mail: sales@safespring.se" xr:uid="{00EF7B7D-7821-474B-9EE3-853D33E2504F}"/>
    <hyperlink ref="B10" r:id="rId2" xr:uid="{4EFA4607-8376-5044-9D43-2621279EC0D7}"/>
    <hyperlink ref="B212" r:id="rId3" tooltip="Skicka ett mail till Safespring." xr:uid="{14C68887-A6AE-5A46-B6B4-5CBC0F55863C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4" man="1"/>
    <brk id="84" max="14" man="1"/>
    <brk id="123" max="14" man="1"/>
    <brk id="222" max="13" man="1"/>
    <brk id="242" max="13" man="1"/>
    <brk id="264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51D8-70CF-F642-A2B5-EAC405C5F533}">
  <dimension ref="B1:N66"/>
  <sheetViews>
    <sheetView zoomScale="120" zoomScaleNormal="120" workbookViewId="0">
      <selection activeCell="L18" sqref="L18"/>
    </sheetView>
  </sheetViews>
  <sheetFormatPr baseColWidth="10" defaultColWidth="17.6640625" defaultRowHeight="30" customHeight="1"/>
  <cols>
    <col min="1" max="1" width="10.1640625" style="538" customWidth="1"/>
    <col min="2" max="3" width="17.6640625" style="538"/>
    <col min="4" max="4" width="17.6640625" style="545"/>
    <col min="5" max="6" width="23.1640625" style="538" bestFit="1" customWidth="1"/>
    <col min="7" max="7" width="22.33203125" style="538" bestFit="1" customWidth="1"/>
    <col min="8" max="16384" width="17.6640625" style="538"/>
  </cols>
  <sheetData>
    <row r="1" spans="2:14" s="52" customFormat="1" ht="30" customHeight="1">
      <c r="B1" s="53"/>
      <c r="D1" s="55"/>
      <c r="L1" s="54"/>
      <c r="N1" s="55"/>
    </row>
    <row r="2" spans="2:14" s="157" customFormat="1" ht="30" customHeight="1">
      <c r="B2" s="128" t="s">
        <v>3</v>
      </c>
      <c r="C2" s="126"/>
      <c r="D2" s="127" t="s">
        <v>51</v>
      </c>
      <c r="E2" s="127" t="s">
        <v>111</v>
      </c>
      <c r="F2" s="127" t="s">
        <v>112</v>
      </c>
      <c r="G2" s="127" t="s">
        <v>113</v>
      </c>
      <c r="I2" s="126" t="s">
        <v>56</v>
      </c>
      <c r="J2" s="127"/>
      <c r="K2" s="127"/>
    </row>
    <row r="3" spans="2:14" s="52" customFormat="1" ht="30" customHeight="1">
      <c r="B3" s="140" t="s">
        <v>189</v>
      </c>
      <c r="C3" s="46"/>
      <c r="D3" s="155">
        <v>55</v>
      </c>
      <c r="E3" s="134">
        <f t="shared" ref="E3:E7" si="0">D3*SEK</f>
        <v>55</v>
      </c>
      <c r="F3" s="138">
        <f>D3*EUR</f>
        <v>5.2094899999999997</v>
      </c>
      <c r="G3" s="136">
        <f>ROUNDUP(E3*NOK,2)</f>
        <v>55</v>
      </c>
      <c r="I3" s="90" t="s">
        <v>111</v>
      </c>
      <c r="J3" s="49"/>
      <c r="K3" s="535">
        <v>1</v>
      </c>
    </row>
    <row r="4" spans="2:14" s="52" customFormat="1" ht="30" customHeight="1">
      <c r="B4" s="88" t="s">
        <v>190</v>
      </c>
      <c r="C4" s="87"/>
      <c r="D4" s="155">
        <v>3.6</v>
      </c>
      <c r="E4" s="135">
        <f t="shared" si="0"/>
        <v>3.6</v>
      </c>
      <c r="F4" s="139">
        <f>D4*EUR</f>
        <v>0.34098479999999998</v>
      </c>
      <c r="G4" s="137">
        <f t="shared" ref="G4:G7" si="1">E4*NOK</f>
        <v>3.6</v>
      </c>
      <c r="I4" s="125" t="s">
        <v>112</v>
      </c>
      <c r="K4" s="536">
        <v>9.4717999999999997E-2</v>
      </c>
    </row>
    <row r="5" spans="2:14" s="52" customFormat="1" ht="30" customHeight="1">
      <c r="B5" s="140" t="s">
        <v>191</v>
      </c>
      <c r="C5" s="46"/>
      <c r="D5" s="155">
        <v>80</v>
      </c>
      <c r="E5" s="134">
        <f t="shared" si="0"/>
        <v>80</v>
      </c>
      <c r="F5" s="138">
        <f t="shared" ref="F5:F7" si="2">D5*EUR</f>
        <v>7.5774399999999993</v>
      </c>
      <c r="G5" s="136">
        <f t="shared" si="1"/>
        <v>80</v>
      </c>
      <c r="I5" s="90" t="s">
        <v>113</v>
      </c>
      <c r="J5" s="49"/>
      <c r="K5" s="537">
        <v>1</v>
      </c>
    </row>
    <row r="6" spans="2:14" s="52" customFormat="1" ht="30" customHeight="1">
      <c r="B6" s="88" t="s">
        <v>192</v>
      </c>
      <c r="C6" s="87"/>
      <c r="D6" s="155">
        <v>1</v>
      </c>
      <c r="E6" s="135">
        <f t="shared" si="0"/>
        <v>1</v>
      </c>
      <c r="F6" s="139">
        <f t="shared" si="2"/>
        <v>9.4717999999999997E-2</v>
      </c>
      <c r="G6" s="137">
        <f t="shared" si="1"/>
        <v>1</v>
      </c>
      <c r="I6" s="151"/>
      <c r="J6" s="152"/>
      <c r="K6" s="151"/>
    </row>
    <row r="7" spans="2:14" s="52" customFormat="1" ht="30" customHeight="1">
      <c r="B7" s="140" t="s">
        <v>193</v>
      </c>
      <c r="C7" s="46"/>
      <c r="D7" s="155">
        <v>5500</v>
      </c>
      <c r="E7" s="134">
        <f t="shared" si="0"/>
        <v>5500</v>
      </c>
      <c r="F7" s="138">
        <f t="shared" si="2"/>
        <v>520.94899999999996</v>
      </c>
      <c r="G7" s="136">
        <f t="shared" si="1"/>
        <v>5500</v>
      </c>
      <c r="J7" s="54"/>
    </row>
    <row r="8" spans="2:14" s="52" customFormat="1" ht="30" customHeight="1">
      <c r="B8" s="488" t="s">
        <v>194</v>
      </c>
      <c r="C8" s="489"/>
      <c r="D8" s="155">
        <v>2.66</v>
      </c>
      <c r="E8" s="490">
        <f>D8*IAAS_vcpu_SEK*SEK</f>
        <v>212.8</v>
      </c>
      <c r="F8" s="491">
        <f>D8*IAAS_vcpu_SEK*EUR</f>
        <v>20.1559904</v>
      </c>
      <c r="G8" s="492">
        <f>D8*IAAS_vcpu_SEK*NOK</f>
        <v>212.8</v>
      </c>
      <c r="I8" s="128" t="s">
        <v>29</v>
      </c>
      <c r="J8" s="129" t="s">
        <v>54</v>
      </c>
      <c r="K8" s="127" t="s">
        <v>36</v>
      </c>
    </row>
    <row r="9" spans="2:14" s="52" customFormat="1" ht="30" customHeight="1">
      <c r="B9" s="493"/>
      <c r="C9" s="494"/>
      <c r="D9" s="495"/>
      <c r="E9" s="495"/>
      <c r="F9" s="495"/>
      <c r="G9" s="495"/>
      <c r="I9" s="47" t="s">
        <v>53</v>
      </c>
      <c r="J9" s="150">
        <v>1</v>
      </c>
      <c r="K9" s="17">
        <f>J9*IAAS_vcpu_SEK</f>
        <v>80</v>
      </c>
    </row>
    <row r="10" spans="2:14" s="52" customFormat="1" ht="30" customHeight="1">
      <c r="B10" s="128" t="s">
        <v>260</v>
      </c>
      <c r="C10" s="126"/>
      <c r="D10" s="127" t="s">
        <v>51</v>
      </c>
      <c r="E10" s="127" t="s">
        <v>111</v>
      </c>
      <c r="F10" s="127" t="s">
        <v>112</v>
      </c>
      <c r="G10" s="127" t="s">
        <v>113</v>
      </c>
      <c r="I10" s="130" t="s">
        <v>52</v>
      </c>
      <c r="J10" s="150">
        <v>1</v>
      </c>
      <c r="K10" s="89">
        <f>J10*IAAS_ram_SEK</f>
        <v>55</v>
      </c>
    </row>
    <row r="11" spans="2:14" s="158" customFormat="1" ht="30" customHeight="1">
      <c r="B11" s="140" t="s">
        <v>66</v>
      </c>
      <c r="C11" s="46"/>
      <c r="D11" s="166">
        <f>INSTANCE_p1.4xlarge.16d_SEK/2</f>
        <v>6840</v>
      </c>
      <c r="E11" s="134">
        <f t="shared" ref="E11:E13" si="3">D11*SEK</f>
        <v>6840</v>
      </c>
      <c r="F11" s="138">
        <f t="shared" ref="F11:F13" si="4">D11*EUR</f>
        <v>647.87112000000002</v>
      </c>
      <c r="G11" s="136">
        <f t="shared" ref="G11:G13" si="5">E11*NOK</f>
        <v>6840</v>
      </c>
      <c r="I11" s="131" t="s">
        <v>55</v>
      </c>
      <c r="J11" s="132"/>
      <c r="K11" s="133">
        <f>SUM(K9:K10)</f>
        <v>135</v>
      </c>
    </row>
    <row r="12" spans="2:14" s="52" customFormat="1" ht="30" customHeight="1">
      <c r="B12" s="88" t="s">
        <v>67</v>
      </c>
      <c r="C12" s="87"/>
      <c r="D12" s="165">
        <v>13680</v>
      </c>
      <c r="E12" s="135">
        <f t="shared" si="3"/>
        <v>13680</v>
      </c>
      <c r="F12" s="139">
        <f t="shared" si="4"/>
        <v>1295.74224</v>
      </c>
      <c r="G12" s="137">
        <f t="shared" si="5"/>
        <v>13680</v>
      </c>
      <c r="L12" s="54"/>
      <c r="N12" s="538"/>
    </row>
    <row r="13" spans="2:14" ht="30" customHeight="1">
      <c r="B13" s="140" t="s">
        <v>68</v>
      </c>
      <c r="C13" s="46"/>
      <c r="D13" s="166">
        <f>INSTANCE_p1.4xlarge.16d_SEK*2</f>
        <v>27360</v>
      </c>
      <c r="E13" s="134">
        <f t="shared" si="3"/>
        <v>27360</v>
      </c>
      <c r="F13" s="138">
        <f t="shared" si="4"/>
        <v>2591.4844800000001</v>
      </c>
      <c r="G13" s="136">
        <f t="shared" si="5"/>
        <v>27360</v>
      </c>
      <c r="L13" s="539"/>
    </row>
    <row r="14" spans="2:14" ht="30" customHeight="1">
      <c r="B14" s="151"/>
      <c r="C14" s="151"/>
      <c r="D14" s="159"/>
      <c r="E14" s="151"/>
      <c r="F14" s="151"/>
      <c r="G14" s="151"/>
    </row>
    <row r="15" spans="2:14" s="540" customFormat="1" ht="30" customHeight="1">
      <c r="B15" s="128" t="s">
        <v>3</v>
      </c>
      <c r="C15" s="126"/>
      <c r="D15" s="127" t="s">
        <v>51</v>
      </c>
      <c r="E15" s="127" t="s">
        <v>111</v>
      </c>
      <c r="F15" s="127" t="s">
        <v>112</v>
      </c>
      <c r="G15" s="127" t="s">
        <v>113</v>
      </c>
    </row>
    <row r="16" spans="2:14" ht="30" customHeight="1">
      <c r="B16" s="140" t="s">
        <v>181</v>
      </c>
      <c r="C16" s="46"/>
      <c r="D16" s="155">
        <v>1.2</v>
      </c>
      <c r="E16" s="134">
        <f>D16*SEK</f>
        <v>1.2</v>
      </c>
      <c r="F16" s="138">
        <f>D16*EUR</f>
        <v>0.11366159999999999</v>
      </c>
      <c r="G16" s="136">
        <f>E16*NOK</f>
        <v>1.2</v>
      </c>
    </row>
    <row r="17" spans="2:7" s="540" customFormat="1" ht="30" customHeight="1">
      <c r="B17" s="88" t="s">
        <v>180</v>
      </c>
      <c r="C17" s="87"/>
      <c r="D17" s="155">
        <v>3.6</v>
      </c>
      <c r="E17" s="135">
        <f>D17*SEK</f>
        <v>3.6</v>
      </c>
      <c r="F17" s="139">
        <f>D17*EUR</f>
        <v>0.34098479999999998</v>
      </c>
      <c r="G17" s="137">
        <f>E17*NOK</f>
        <v>3.6</v>
      </c>
    </row>
    <row r="18" spans="2:7" ht="30" customHeight="1">
      <c r="B18" s="541"/>
      <c r="C18" s="541"/>
      <c r="D18" s="542"/>
      <c r="E18" s="541"/>
      <c r="F18" s="541"/>
      <c r="G18" s="541"/>
    </row>
    <row r="19" spans="2:7" s="540" customFormat="1" ht="30" customHeight="1">
      <c r="B19" s="128" t="s">
        <v>32</v>
      </c>
      <c r="C19" s="126"/>
      <c r="D19" s="127" t="s">
        <v>51</v>
      </c>
      <c r="E19" s="127" t="s">
        <v>111</v>
      </c>
      <c r="F19" s="127" t="s">
        <v>112</v>
      </c>
      <c r="G19" s="127" t="s">
        <v>113</v>
      </c>
    </row>
    <row r="20" spans="2:7" ht="30" customHeight="1">
      <c r="B20" s="140" t="s">
        <v>186</v>
      </c>
      <c r="C20" s="46"/>
      <c r="D20" s="155">
        <v>2.4500000000000002</v>
      </c>
      <c r="E20" s="134">
        <f t="shared" ref="E20:E23" si="6">D20*SEK</f>
        <v>2.4500000000000002</v>
      </c>
      <c r="F20" s="138">
        <f t="shared" ref="F20:F23" si="7">D20*EUR</f>
        <v>0.23205910000000002</v>
      </c>
      <c r="G20" s="136">
        <f t="shared" ref="G20:G23" si="8">E20*NOK</f>
        <v>2.4500000000000002</v>
      </c>
    </row>
    <row r="21" spans="2:7" s="540" customFormat="1" ht="30" customHeight="1">
      <c r="B21" s="88" t="s">
        <v>213</v>
      </c>
      <c r="C21" s="87"/>
      <c r="D21" s="156">
        <v>5500</v>
      </c>
      <c r="E21" s="135">
        <f t="shared" ref="E21:E22" si="9">D21*SEK</f>
        <v>5500</v>
      </c>
      <c r="F21" s="139">
        <f t="shared" ref="F21:F22" si="10">D21*EUR</f>
        <v>520.94899999999996</v>
      </c>
      <c r="G21" s="137">
        <f t="shared" ref="G21:G22" si="11">E21*NOK</f>
        <v>5500</v>
      </c>
    </row>
    <row r="22" spans="2:7" ht="30" customHeight="1">
      <c r="B22" s="140" t="s">
        <v>214</v>
      </c>
      <c r="C22" s="46"/>
      <c r="D22" s="155">
        <v>9500</v>
      </c>
      <c r="E22" s="134">
        <f t="shared" si="9"/>
        <v>9500</v>
      </c>
      <c r="F22" s="138">
        <f t="shared" si="10"/>
        <v>899.82099999999991</v>
      </c>
      <c r="G22" s="136">
        <f t="shared" si="11"/>
        <v>9500</v>
      </c>
    </row>
    <row r="23" spans="2:7" ht="30" customHeight="1">
      <c r="B23" s="88" t="s">
        <v>187</v>
      </c>
      <c r="C23" s="87"/>
      <c r="D23" s="156">
        <v>1.75</v>
      </c>
      <c r="E23" s="135">
        <f t="shared" si="6"/>
        <v>1.75</v>
      </c>
      <c r="F23" s="139">
        <f t="shared" si="7"/>
        <v>0.1657565</v>
      </c>
      <c r="G23" s="137">
        <f t="shared" si="8"/>
        <v>1.75</v>
      </c>
    </row>
    <row r="24" spans="2:7" ht="30" customHeight="1">
      <c r="B24" s="140" t="s">
        <v>188</v>
      </c>
      <c r="C24" s="46"/>
      <c r="D24" s="155">
        <v>0.92</v>
      </c>
      <c r="E24" s="134">
        <f t="shared" ref="E24" si="12">D24*SEK</f>
        <v>0.92</v>
      </c>
      <c r="F24" s="138">
        <f t="shared" ref="F24" si="13">D24*EUR</f>
        <v>8.7140560000000006E-2</v>
      </c>
      <c r="G24" s="136">
        <f t="shared" ref="G24" si="14">E24*NOK</f>
        <v>0.92</v>
      </c>
    </row>
    <row r="25" spans="2:7" ht="30" customHeight="1">
      <c r="B25" s="543"/>
      <c r="C25" s="543"/>
      <c r="D25" s="543"/>
      <c r="E25" s="543"/>
      <c r="F25" s="543"/>
      <c r="G25" s="543"/>
    </row>
    <row r="26" spans="2:7" ht="30" customHeight="1">
      <c r="B26" s="128" t="s">
        <v>27</v>
      </c>
      <c r="C26" s="126"/>
      <c r="D26" s="127" t="s">
        <v>51</v>
      </c>
      <c r="E26" s="127" t="s">
        <v>111</v>
      </c>
      <c r="F26" s="127" t="s">
        <v>112</v>
      </c>
      <c r="G26" s="127" t="s">
        <v>113</v>
      </c>
    </row>
    <row r="27" spans="2:7" ht="30" customHeight="1">
      <c r="B27" s="76" t="s">
        <v>199</v>
      </c>
      <c r="C27" s="46"/>
      <c r="D27" s="455">
        <v>350</v>
      </c>
      <c r="E27" s="134">
        <f t="shared" ref="E27:E30" si="15">D27*SEK</f>
        <v>350</v>
      </c>
      <c r="F27" s="138">
        <f t="shared" ref="F27:F30" si="16">D27*EUR</f>
        <v>33.151299999999999</v>
      </c>
      <c r="G27" s="136">
        <f t="shared" ref="G27:G31" si="17">E27*NOK</f>
        <v>350</v>
      </c>
    </row>
    <row r="28" spans="2:7" ht="30" customHeight="1">
      <c r="B28" s="77" t="s">
        <v>198</v>
      </c>
      <c r="C28" s="87"/>
      <c r="D28" s="455">
        <v>270</v>
      </c>
      <c r="E28" s="135">
        <f t="shared" si="15"/>
        <v>270</v>
      </c>
      <c r="F28" s="139">
        <f t="shared" si="16"/>
        <v>25.57386</v>
      </c>
      <c r="G28" s="137">
        <f t="shared" si="17"/>
        <v>270</v>
      </c>
    </row>
    <row r="29" spans="2:7" ht="30" customHeight="1">
      <c r="B29" s="76" t="s">
        <v>197</v>
      </c>
      <c r="C29" s="46"/>
      <c r="D29" s="455">
        <v>200</v>
      </c>
      <c r="E29" s="134">
        <f t="shared" si="15"/>
        <v>200</v>
      </c>
      <c r="F29" s="138">
        <f t="shared" si="16"/>
        <v>18.9436</v>
      </c>
      <c r="G29" s="136">
        <f t="shared" si="17"/>
        <v>200</v>
      </c>
    </row>
    <row r="30" spans="2:7" ht="30" customHeight="1">
      <c r="B30" s="77" t="s">
        <v>196</v>
      </c>
      <c r="C30" s="87"/>
      <c r="D30" s="455">
        <v>185</v>
      </c>
      <c r="E30" s="135">
        <f t="shared" si="15"/>
        <v>185</v>
      </c>
      <c r="F30" s="139">
        <f t="shared" si="16"/>
        <v>17.522829999999999</v>
      </c>
      <c r="G30" s="137">
        <f t="shared" si="17"/>
        <v>185</v>
      </c>
    </row>
    <row r="31" spans="2:7" ht="30" customHeight="1">
      <c r="B31" s="76" t="s">
        <v>200</v>
      </c>
      <c r="C31" s="46"/>
      <c r="D31" s="455" t="s">
        <v>74</v>
      </c>
      <c r="E31" s="163" t="str">
        <f>D31</f>
        <v>Be om offert</v>
      </c>
      <c r="F31" s="138" t="s">
        <v>212</v>
      </c>
      <c r="G31" s="136" t="e">
        <f t="shared" si="17"/>
        <v>#VALUE!</v>
      </c>
    </row>
    <row r="32" spans="2:7" ht="30" customHeight="1">
      <c r="B32" s="543"/>
      <c r="C32" s="543"/>
      <c r="D32" s="543"/>
      <c r="E32" s="543"/>
      <c r="F32" s="543"/>
      <c r="G32" s="543"/>
    </row>
    <row r="33" spans="2:7" ht="30" customHeight="1">
      <c r="B33" s="128" t="s">
        <v>130</v>
      </c>
      <c r="C33" s="126"/>
      <c r="D33" s="127" t="s">
        <v>51</v>
      </c>
      <c r="E33" s="127" t="s">
        <v>111</v>
      </c>
      <c r="F33" s="127" t="s">
        <v>112</v>
      </c>
      <c r="G33" s="127" t="s">
        <v>113</v>
      </c>
    </row>
    <row r="34" spans="2:7" ht="30" customHeight="1">
      <c r="B34" s="140" t="s">
        <v>167</v>
      </c>
      <c r="C34" s="46"/>
      <c r="D34" s="155">
        <v>20</v>
      </c>
      <c r="E34" s="134">
        <f t="shared" ref="E34:E40" si="18">D34*SEK</f>
        <v>20</v>
      </c>
      <c r="F34" s="138">
        <f>D34*EUR</f>
        <v>1.8943599999999998</v>
      </c>
      <c r="G34" s="136">
        <f t="shared" ref="G34:G40" si="19">E34*NOK</f>
        <v>20</v>
      </c>
    </row>
    <row r="35" spans="2:7" ht="30" customHeight="1">
      <c r="B35" s="88" t="s">
        <v>168</v>
      </c>
      <c r="C35" s="87"/>
      <c r="D35" s="155">
        <v>0</v>
      </c>
      <c r="E35" s="135">
        <f t="shared" si="18"/>
        <v>0</v>
      </c>
      <c r="F35" s="139">
        <f t="shared" ref="F35:F40" si="20">D35*EUR</f>
        <v>0</v>
      </c>
      <c r="G35" s="137">
        <f t="shared" si="19"/>
        <v>0</v>
      </c>
    </row>
    <row r="36" spans="2:7" ht="30" customHeight="1">
      <c r="B36" s="140" t="s">
        <v>173</v>
      </c>
      <c r="C36" s="46"/>
      <c r="D36" s="155">
        <v>0</v>
      </c>
      <c r="E36" s="134">
        <f t="shared" si="18"/>
        <v>0</v>
      </c>
      <c r="F36" s="138">
        <f t="shared" si="20"/>
        <v>0</v>
      </c>
      <c r="G36" s="136">
        <f t="shared" si="19"/>
        <v>0</v>
      </c>
    </row>
    <row r="37" spans="2:7" ht="30" customHeight="1">
      <c r="B37" s="88" t="s">
        <v>174</v>
      </c>
      <c r="C37" s="87"/>
      <c r="D37" s="155">
        <v>0.25</v>
      </c>
      <c r="E37" s="135">
        <f t="shared" si="18"/>
        <v>0.25</v>
      </c>
      <c r="F37" s="139">
        <f>D37*EUR</f>
        <v>2.3679499999999999E-2</v>
      </c>
      <c r="G37" s="137">
        <f t="shared" si="19"/>
        <v>0.25</v>
      </c>
    </row>
    <row r="38" spans="2:7" ht="30" customHeight="1">
      <c r="B38" s="140" t="s">
        <v>170</v>
      </c>
      <c r="C38" s="46"/>
      <c r="D38" s="155">
        <v>300</v>
      </c>
      <c r="E38" s="134">
        <f t="shared" si="18"/>
        <v>300</v>
      </c>
      <c r="F38" s="506">
        <f>D38*EUR</f>
        <v>28.415399999999998</v>
      </c>
      <c r="G38" s="136">
        <f t="shared" si="19"/>
        <v>300</v>
      </c>
    </row>
    <row r="39" spans="2:7" ht="30" customHeight="1">
      <c r="B39" s="88" t="s">
        <v>172</v>
      </c>
      <c r="C39" s="87"/>
      <c r="D39" s="155">
        <v>0</v>
      </c>
      <c r="E39" s="135">
        <f t="shared" si="18"/>
        <v>0</v>
      </c>
      <c r="F39" s="139">
        <f t="shared" si="20"/>
        <v>0</v>
      </c>
      <c r="G39" s="137">
        <f t="shared" si="19"/>
        <v>0</v>
      </c>
    </row>
    <row r="40" spans="2:7" ht="30" customHeight="1">
      <c r="B40" s="140" t="s">
        <v>171</v>
      </c>
      <c r="C40" s="46"/>
      <c r="D40" s="155">
        <v>0</v>
      </c>
      <c r="E40" s="134">
        <f t="shared" si="18"/>
        <v>0</v>
      </c>
      <c r="F40" s="138">
        <f t="shared" si="20"/>
        <v>0</v>
      </c>
      <c r="G40" s="136">
        <f t="shared" si="19"/>
        <v>0</v>
      </c>
    </row>
    <row r="41" spans="2:7" ht="30" customHeight="1">
      <c r="B41" s="88" t="s">
        <v>169</v>
      </c>
      <c r="C41" s="87"/>
      <c r="D41" s="156">
        <v>0</v>
      </c>
      <c r="E41" s="135">
        <f t="shared" ref="E41" si="21">D41*SEK</f>
        <v>0</v>
      </c>
      <c r="F41" s="139">
        <f t="shared" ref="F41" si="22">D41*EUR</f>
        <v>0</v>
      </c>
      <c r="G41" s="137">
        <f t="shared" ref="G41" si="23">E41*NOK</f>
        <v>0</v>
      </c>
    </row>
    <row r="42" spans="2:7" ht="30" customHeight="1">
      <c r="B42" s="541"/>
      <c r="C42" s="541"/>
      <c r="D42" s="542"/>
      <c r="E42" s="541"/>
      <c r="F42" s="541"/>
      <c r="G42" s="541"/>
    </row>
    <row r="43" spans="2:7" ht="30" customHeight="1">
      <c r="B43" s="128" t="s">
        <v>129</v>
      </c>
      <c r="C43" s="126"/>
      <c r="D43" s="127" t="s">
        <v>51</v>
      </c>
      <c r="E43" s="127" t="s">
        <v>111</v>
      </c>
      <c r="F43" s="127" t="s">
        <v>112</v>
      </c>
      <c r="G43" s="127" t="s">
        <v>113</v>
      </c>
    </row>
    <row r="44" spans="2:7" ht="30" customHeight="1">
      <c r="B44" s="140" t="s">
        <v>136</v>
      </c>
      <c r="C44" s="46"/>
      <c r="D44" s="155">
        <v>78</v>
      </c>
      <c r="E44" s="134">
        <f t="shared" ref="E44:E50" si="24">D44*SEK</f>
        <v>78</v>
      </c>
      <c r="F44" s="138">
        <f>D44*EUR</f>
        <v>7.3880039999999996</v>
      </c>
      <c r="G44" s="136">
        <f t="shared" ref="G44:G50" si="25">E44*NOK</f>
        <v>78</v>
      </c>
    </row>
    <row r="45" spans="2:7" ht="30" customHeight="1">
      <c r="B45" s="88" t="s">
        <v>86</v>
      </c>
      <c r="C45" s="87"/>
      <c r="D45" s="155">
        <v>940</v>
      </c>
      <c r="E45" s="135">
        <f t="shared" si="24"/>
        <v>940</v>
      </c>
      <c r="F45" s="139">
        <f>D45*EUR</f>
        <v>89.03492</v>
      </c>
      <c r="G45" s="137">
        <f t="shared" si="25"/>
        <v>940</v>
      </c>
    </row>
    <row r="46" spans="2:7" ht="30" customHeight="1">
      <c r="B46" s="140" t="s">
        <v>133</v>
      </c>
      <c r="C46" s="46"/>
      <c r="D46" s="155">
        <v>9800</v>
      </c>
      <c r="E46" s="134">
        <f t="shared" si="24"/>
        <v>9800</v>
      </c>
      <c r="F46" s="138">
        <f>D46*EUR</f>
        <v>928.2364</v>
      </c>
      <c r="G46" s="136">
        <f t="shared" si="25"/>
        <v>9800</v>
      </c>
    </row>
    <row r="47" spans="2:7" ht="30" customHeight="1">
      <c r="B47" s="88" t="s">
        <v>132</v>
      </c>
      <c r="C47" s="87"/>
      <c r="D47" s="155"/>
      <c r="E47" s="161" t="s">
        <v>121</v>
      </c>
      <c r="F47" s="162" t="s">
        <v>179</v>
      </c>
      <c r="G47" s="137"/>
    </row>
    <row r="48" spans="2:7" ht="30" customHeight="1">
      <c r="B48" s="140" t="s">
        <v>135</v>
      </c>
      <c r="C48" s="46"/>
      <c r="D48" s="155"/>
      <c r="E48" s="163" t="s">
        <v>121</v>
      </c>
      <c r="F48" s="164" t="s">
        <v>179</v>
      </c>
      <c r="G48" s="136"/>
    </row>
    <row r="49" spans="2:9" ht="30" customHeight="1">
      <c r="B49" s="88" t="s">
        <v>134</v>
      </c>
      <c r="C49" s="87"/>
      <c r="D49" s="155"/>
      <c r="E49" s="161" t="s">
        <v>289</v>
      </c>
      <c r="F49" s="162" t="s">
        <v>290</v>
      </c>
      <c r="G49" s="137"/>
    </row>
    <row r="50" spans="2:9" ht="30" customHeight="1">
      <c r="B50" s="140" t="s">
        <v>84</v>
      </c>
      <c r="C50" s="46"/>
      <c r="D50" s="155">
        <v>400</v>
      </c>
      <c r="E50" s="134">
        <f t="shared" si="24"/>
        <v>400</v>
      </c>
      <c r="F50" s="138">
        <f>D50*EUR</f>
        <v>37.8872</v>
      </c>
      <c r="G50" s="136">
        <f t="shared" si="25"/>
        <v>400</v>
      </c>
    </row>
    <row r="51" spans="2:9" ht="30" customHeight="1">
      <c r="B51" s="541"/>
      <c r="C51" s="541"/>
      <c r="D51" s="542"/>
      <c r="E51" s="541"/>
      <c r="F51" s="541"/>
      <c r="G51" s="541"/>
    </row>
    <row r="52" spans="2:9" ht="30" customHeight="1">
      <c r="B52" s="128" t="s">
        <v>87</v>
      </c>
      <c r="C52" s="126"/>
      <c r="D52" s="127" t="s">
        <v>51</v>
      </c>
      <c r="E52" s="127" t="s">
        <v>111</v>
      </c>
      <c r="F52" s="127" t="s">
        <v>112</v>
      </c>
      <c r="G52" s="127" t="s">
        <v>113</v>
      </c>
    </row>
    <row r="53" spans="2:9" ht="30" customHeight="1">
      <c r="B53" s="140" t="s">
        <v>92</v>
      </c>
      <c r="C53" s="46"/>
      <c r="D53" s="155">
        <f>PAAS_man.kubernetes_EUR*10</f>
        <v>49000</v>
      </c>
      <c r="E53" s="134">
        <f t="shared" ref="E53:E58" si="26">D53*SEK</f>
        <v>49000</v>
      </c>
      <c r="F53" s="138">
        <v>4900</v>
      </c>
      <c r="G53" s="136">
        <f t="shared" ref="G53:G58" si="27">E53*NOK</f>
        <v>49000</v>
      </c>
      <c r="I53" s="544"/>
    </row>
    <row r="54" spans="2:9" ht="30" customHeight="1">
      <c r="B54" s="88" t="s">
        <v>93</v>
      </c>
      <c r="C54" s="87"/>
      <c r="D54" s="155">
        <f>PAAS_man.postgres.sql_EUR*10</f>
        <v>19500</v>
      </c>
      <c r="E54" s="135">
        <f t="shared" si="26"/>
        <v>19500</v>
      </c>
      <c r="F54" s="139">
        <v>1950</v>
      </c>
      <c r="G54" s="137">
        <f t="shared" si="27"/>
        <v>19500</v>
      </c>
      <c r="I54" s="544"/>
    </row>
    <row r="55" spans="2:9" ht="30" customHeight="1">
      <c r="B55" s="140" t="s">
        <v>94</v>
      </c>
      <c r="C55" s="46"/>
      <c r="D55" s="155">
        <f>PAAS_man.elasticsearch_EUR*10</f>
        <v>19500</v>
      </c>
      <c r="E55" s="134">
        <f t="shared" si="26"/>
        <v>19500</v>
      </c>
      <c r="F55" s="138">
        <v>1950</v>
      </c>
      <c r="G55" s="136">
        <f t="shared" si="27"/>
        <v>19500</v>
      </c>
      <c r="I55" s="544"/>
    </row>
    <row r="56" spans="2:9" ht="30" customHeight="1">
      <c r="B56" s="88" t="s">
        <v>95</v>
      </c>
      <c r="C56" s="87"/>
      <c r="D56" s="155">
        <f>PAAS_man.redis_EUR*10</f>
        <v>19000</v>
      </c>
      <c r="E56" s="135">
        <f t="shared" si="26"/>
        <v>19000</v>
      </c>
      <c r="F56" s="139">
        <v>1900</v>
      </c>
      <c r="G56" s="137">
        <f t="shared" si="27"/>
        <v>19000</v>
      </c>
      <c r="I56" s="544"/>
    </row>
    <row r="57" spans="2:9" ht="30" customHeight="1">
      <c r="B57" s="140" t="s">
        <v>96</v>
      </c>
      <c r="C57" s="46"/>
      <c r="D57" s="155">
        <f>PAAS_man.nats_EUR*10</f>
        <v>19500</v>
      </c>
      <c r="E57" s="134">
        <f t="shared" si="26"/>
        <v>19500</v>
      </c>
      <c r="F57" s="138">
        <v>1950</v>
      </c>
      <c r="G57" s="136">
        <f t="shared" si="27"/>
        <v>19500</v>
      </c>
      <c r="I57" s="544"/>
    </row>
    <row r="58" spans="2:9" ht="30" customHeight="1">
      <c r="B58" s="88" t="s">
        <v>139</v>
      </c>
      <c r="C58" s="87"/>
      <c r="D58" s="155">
        <f>PAAS_man.mariadb_EUR*10</f>
        <v>19500</v>
      </c>
      <c r="E58" s="135">
        <f t="shared" si="26"/>
        <v>19500</v>
      </c>
      <c r="F58" s="139">
        <v>1950</v>
      </c>
      <c r="G58" s="137">
        <f t="shared" si="27"/>
        <v>19500</v>
      </c>
      <c r="I58" s="544"/>
    </row>
    <row r="59" spans="2:9" ht="30" customHeight="1">
      <c r="B59" s="541"/>
      <c r="C59" s="541"/>
      <c r="D59" s="542"/>
      <c r="E59" s="541"/>
      <c r="F59" s="541"/>
      <c r="G59" s="541"/>
      <c r="I59" s="544"/>
    </row>
    <row r="60" spans="2:9" ht="30" customHeight="1">
      <c r="B60" s="128" t="s">
        <v>148</v>
      </c>
      <c r="C60" s="126"/>
      <c r="D60" s="127" t="s">
        <v>51</v>
      </c>
      <c r="E60" s="127" t="s">
        <v>111</v>
      </c>
      <c r="F60" s="127" t="s">
        <v>112</v>
      </c>
      <c r="G60" s="127" t="s">
        <v>113</v>
      </c>
    </row>
    <row r="61" spans="2:9" ht="30" customHeight="1">
      <c r="B61" s="140" t="s">
        <v>205</v>
      </c>
      <c r="C61" s="46"/>
      <c r="D61" s="155">
        <v>1127</v>
      </c>
      <c r="E61" s="504">
        <f>D61*SEK</f>
        <v>1127</v>
      </c>
      <c r="F61" s="512">
        <f t="shared" ref="F61:F66" si="28">D61*EUR</f>
        <v>106.747186</v>
      </c>
      <c r="G61" s="136">
        <f t="shared" ref="G61:G66" si="29">E61*NOK</f>
        <v>1127</v>
      </c>
    </row>
    <row r="62" spans="2:9" ht="30" customHeight="1">
      <c r="B62" s="88" t="s">
        <v>206</v>
      </c>
      <c r="C62" s="87"/>
      <c r="D62" s="155">
        <v>1374</v>
      </c>
      <c r="E62" s="135">
        <f t="shared" ref="E62:E66" si="30">D62*SEK</f>
        <v>1374</v>
      </c>
      <c r="F62" s="513">
        <f t="shared" si="28"/>
        <v>130.14253199999999</v>
      </c>
      <c r="G62" s="137">
        <f t="shared" si="29"/>
        <v>1374</v>
      </c>
    </row>
    <row r="63" spans="2:9" ht="30" customHeight="1">
      <c r="B63" s="140" t="s">
        <v>207</v>
      </c>
      <c r="C63" s="46"/>
      <c r="D63" s="155">
        <v>1277</v>
      </c>
      <c r="E63" s="134">
        <f t="shared" si="30"/>
        <v>1277</v>
      </c>
      <c r="F63" s="514">
        <f t="shared" si="28"/>
        <v>120.954886</v>
      </c>
      <c r="G63" s="136">
        <f t="shared" si="29"/>
        <v>1277</v>
      </c>
    </row>
    <row r="64" spans="2:9" ht="30" customHeight="1">
      <c r="B64" s="88" t="s">
        <v>208</v>
      </c>
      <c r="C64" s="87"/>
      <c r="D64" s="155">
        <v>1374</v>
      </c>
      <c r="E64" s="135">
        <f t="shared" si="30"/>
        <v>1374</v>
      </c>
      <c r="F64" s="513">
        <f t="shared" si="28"/>
        <v>130.14253199999999</v>
      </c>
      <c r="G64" s="137">
        <f t="shared" si="29"/>
        <v>1374</v>
      </c>
    </row>
    <row r="65" spans="2:7" ht="30" customHeight="1">
      <c r="B65" s="140" t="s">
        <v>209</v>
      </c>
      <c r="C65" s="46"/>
      <c r="D65" s="155">
        <v>1139</v>
      </c>
      <c r="E65" s="134">
        <f t="shared" si="30"/>
        <v>1139</v>
      </c>
      <c r="F65" s="514">
        <f t="shared" si="28"/>
        <v>107.883802</v>
      </c>
      <c r="G65" s="136">
        <f t="shared" si="29"/>
        <v>1139</v>
      </c>
    </row>
    <row r="66" spans="2:7" ht="30" customHeight="1">
      <c r="B66" s="88" t="s">
        <v>210</v>
      </c>
      <c r="C66" s="87"/>
      <c r="D66" s="155">
        <v>1374</v>
      </c>
      <c r="E66" s="135">
        <f t="shared" si="30"/>
        <v>1374</v>
      </c>
      <c r="F66" s="513">
        <f t="shared" si="28"/>
        <v>130.14253199999999</v>
      </c>
      <c r="G66" s="137">
        <f t="shared" si="29"/>
        <v>1374</v>
      </c>
    </row>
  </sheetData>
  <phoneticPr fontId="2" type="noConversion"/>
  <conditionalFormatting sqref="J9">
    <cfRule type="cellIs" dxfId="23" priority="35" operator="greaterThan">
      <formula>0</formula>
    </cfRule>
  </conditionalFormatting>
  <conditionalFormatting sqref="J10">
    <cfRule type="cellIs" dxfId="22" priority="36" operator="greaterThan">
      <formula>0</formula>
    </cfRule>
  </conditionalFormatting>
  <conditionalFormatting sqref="D34 D36 D38 D40">
    <cfRule type="cellIs" dxfId="21" priority="34" operator="greaterThan">
      <formula>0</formula>
    </cfRule>
  </conditionalFormatting>
  <conditionalFormatting sqref="D35 D37 D39">
    <cfRule type="cellIs" dxfId="20" priority="33" operator="greaterThan">
      <formula>0</formula>
    </cfRule>
  </conditionalFormatting>
  <conditionalFormatting sqref="D41">
    <cfRule type="cellIs" dxfId="19" priority="32" operator="greaterThan">
      <formula>0</formula>
    </cfRule>
  </conditionalFormatting>
  <conditionalFormatting sqref="D16">
    <cfRule type="cellIs" dxfId="18" priority="23" operator="greaterThan">
      <formula>0</formula>
    </cfRule>
  </conditionalFormatting>
  <conditionalFormatting sqref="D17">
    <cfRule type="cellIs" dxfId="17" priority="22" operator="greaterThan">
      <formula>0</formula>
    </cfRule>
  </conditionalFormatting>
  <conditionalFormatting sqref="D3 D5 D7:D8">
    <cfRule type="cellIs" dxfId="16" priority="27" operator="greaterThan">
      <formula>0</formula>
    </cfRule>
  </conditionalFormatting>
  <conditionalFormatting sqref="D4 D6">
    <cfRule type="cellIs" dxfId="15" priority="26" operator="greaterThan">
      <formula>0</formula>
    </cfRule>
  </conditionalFormatting>
  <conditionalFormatting sqref="D56 D58">
    <cfRule type="cellIs" dxfId="14" priority="16" operator="greaterThan">
      <formula>0</formula>
    </cfRule>
  </conditionalFormatting>
  <conditionalFormatting sqref="D24">
    <cfRule type="cellIs" dxfId="13" priority="15" operator="greaterThan">
      <formula>0</formula>
    </cfRule>
  </conditionalFormatting>
  <conditionalFormatting sqref="D53 D55 D57">
    <cfRule type="cellIs" dxfId="12" priority="17" operator="greaterThan">
      <formula>0</formula>
    </cfRule>
  </conditionalFormatting>
  <conditionalFormatting sqref="D12">
    <cfRule type="cellIs" dxfId="11" priority="13" operator="greaterThan">
      <formula>0</formula>
    </cfRule>
  </conditionalFormatting>
  <conditionalFormatting sqref="D20">
    <cfRule type="cellIs" dxfId="10" priority="21" operator="greaterThan">
      <formula>0</formula>
    </cfRule>
  </conditionalFormatting>
  <conditionalFormatting sqref="D23">
    <cfRule type="cellIs" dxfId="9" priority="20" operator="greaterThan">
      <formula>0</formula>
    </cfRule>
  </conditionalFormatting>
  <conditionalFormatting sqref="D44 D46 D48 D50">
    <cfRule type="cellIs" dxfId="8" priority="19" operator="greaterThan">
      <formula>0</formula>
    </cfRule>
  </conditionalFormatting>
  <conditionalFormatting sqref="D45 D47 D49">
    <cfRule type="cellIs" dxfId="7" priority="18" operator="greaterThan">
      <formula>0</formula>
    </cfRule>
  </conditionalFormatting>
  <conditionalFormatting sqref="D27 D29 D31">
    <cfRule type="cellIs" dxfId="6" priority="12" operator="greaterThan">
      <formula>0</formula>
    </cfRule>
  </conditionalFormatting>
  <conditionalFormatting sqref="D28 D30">
    <cfRule type="cellIs" dxfId="5" priority="11" operator="greaterThan">
      <formula>0</formula>
    </cfRule>
  </conditionalFormatting>
  <conditionalFormatting sqref="D22">
    <cfRule type="cellIs" dxfId="4" priority="6" operator="greaterThan">
      <formula>0</formula>
    </cfRule>
  </conditionalFormatting>
  <conditionalFormatting sqref="D21">
    <cfRule type="cellIs" dxfId="3" priority="7" operator="greaterThan">
      <formula>0</formula>
    </cfRule>
  </conditionalFormatting>
  <conditionalFormatting sqref="D62 D64 D66">
    <cfRule type="cellIs" dxfId="2" priority="4" operator="greaterThan">
      <formula>0</formula>
    </cfRule>
  </conditionalFormatting>
  <conditionalFormatting sqref="D61 D63 D65">
    <cfRule type="cellIs" dxfId="1" priority="5" operator="greaterThan">
      <formula>0</formula>
    </cfRule>
  </conditionalFormatting>
  <conditionalFormatting sqref="D54">
    <cfRule type="cellIs" dxfId="0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3B81DAFEB6E48968C393326E48C35" ma:contentTypeVersion="12" ma:contentTypeDescription="Create a new document." ma:contentTypeScope="" ma:versionID="fe80addda3785a17401e59b183cfbdd3">
  <xsd:schema xmlns:xsd="http://www.w3.org/2001/XMLSchema" xmlns:xs="http://www.w3.org/2001/XMLSchema" xmlns:p="http://schemas.microsoft.com/office/2006/metadata/properties" xmlns:ns2="b02d781b-7fa0-453e-8cce-8f68a10659e7" xmlns:ns3="c4dd6bfd-0b07-4feb-8f84-e45213ea2541" targetNamespace="http://schemas.microsoft.com/office/2006/metadata/properties" ma:root="true" ma:fieldsID="74fc3b54b085f200e42a327aeed12e42" ns2:_="" ns3:_="">
    <xsd:import namespace="b02d781b-7fa0-453e-8cce-8f68a10659e7"/>
    <xsd:import namespace="c4dd6bfd-0b07-4feb-8f84-e45213ea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d781b-7fa0-453e-8cce-8f68a1065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d6bfd-0b07-4feb-8f84-e45213ea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8DA55C-3E04-43BC-9C10-F76F453885EF}">
  <ds:schemaRefs>
    <ds:schemaRef ds:uri="b02d781b-7fa0-453e-8cce-8f68a10659e7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c4dd6bfd-0b07-4feb-8f84-e45213ea2541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6446A94-B4DE-4E1C-B95E-28564883A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d781b-7fa0-453e-8cce-8f68a10659e7"/>
    <ds:schemaRef ds:uri="c4dd6bfd-0b07-4feb-8f84-e45213ea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C46745-0CBD-4C75-8F94-6E13A1C24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103</vt:i4>
      </vt:variant>
    </vt:vector>
  </HeadingPairs>
  <TitlesOfParts>
    <vt:vector size="106" baseType="lpstr">
      <vt:lpstr>EUR - Safespring priser 2020</vt:lpstr>
      <vt:lpstr>SEK - Safespring priser 2020</vt:lpstr>
      <vt:lpstr>Data</vt:lpstr>
      <vt:lpstr>BAAS_large_EUR</vt:lpstr>
      <vt:lpstr>BAAS_large_SEK</vt:lpstr>
      <vt:lpstr>BAAS_large.fee_EUR</vt:lpstr>
      <vt:lpstr>BAAS_large.fee_SEK</vt:lpstr>
      <vt:lpstr>BAAS_on.demand_EUR</vt:lpstr>
      <vt:lpstr>BAAS_on.demand_SEK</vt:lpstr>
      <vt:lpstr>BAAS_small_EUR</vt:lpstr>
      <vt:lpstr>BAAS_small_SEK</vt:lpstr>
      <vt:lpstr>BAAS_small.fee_EUR</vt:lpstr>
      <vt:lpstr>BAAS_small.fee_SEK</vt:lpstr>
      <vt:lpstr>EUR</vt:lpstr>
      <vt:lpstr>IAAS_gpu_EUR</vt:lpstr>
      <vt:lpstr>IAAS_gpu_SEK</vt:lpstr>
      <vt:lpstr>IAAS_nvme_EUR</vt:lpstr>
      <vt:lpstr>IAAS_nvme_SEK</vt:lpstr>
      <vt:lpstr>IAAS_pcpu_EUR</vt:lpstr>
      <vt:lpstr>IAAS_pcpu_SEK</vt:lpstr>
      <vt:lpstr>IAAS_ram_EUR</vt:lpstr>
      <vt:lpstr>IAAS_ram_SEK</vt:lpstr>
      <vt:lpstr>IAAS_ssd_EUR</vt:lpstr>
      <vt:lpstr>IAAS_ssd_SEK</vt:lpstr>
      <vt:lpstr>IAAS_vcpu_EUR</vt:lpstr>
      <vt:lpstr>IAAS_vcpu_SEK</vt:lpstr>
      <vt:lpstr>INSTANCE_p1.2xlarge.16d_EUR</vt:lpstr>
      <vt:lpstr>INSTANCE_p1.2xlarge.16d_SEK</vt:lpstr>
      <vt:lpstr>INSTANCE_p1.4xlarge.16d_EUR</vt:lpstr>
      <vt:lpstr>INSTANCE_p1.4xlarge.16d_SEK</vt:lpstr>
      <vt:lpstr>INSTANCE_p1.8xlarge.32d_EUR</vt:lpstr>
      <vt:lpstr>INSTANCE_p1.8xlarge.32d_SEK</vt:lpstr>
      <vt:lpstr>NET_byoip_EUR</vt:lpstr>
      <vt:lpstr>NET_byoip_SEK</vt:lpstr>
      <vt:lpstr>NET_egress_EUR</vt:lpstr>
      <vt:lpstr>NET_egress_SEK</vt:lpstr>
      <vt:lpstr>NET_ingress_EUR</vt:lpstr>
      <vt:lpstr>NET_ingress_SEK</vt:lpstr>
      <vt:lpstr>NET_mgn.slb_EUR</vt:lpstr>
      <vt:lpstr>NET_mgn.slb_SEK</vt:lpstr>
      <vt:lpstr>NET_publicv4_EUR</vt:lpstr>
      <vt:lpstr>NET_publicv4_SEK</vt:lpstr>
      <vt:lpstr>NET_publicv6_EUR</vt:lpstr>
      <vt:lpstr>NET_publicv6_SEK</vt:lpstr>
      <vt:lpstr>NET_rdns_EUR</vt:lpstr>
      <vt:lpstr>NET_rdns_SEK</vt:lpstr>
      <vt:lpstr>NET_saferoute_EUR</vt:lpstr>
      <vt:lpstr>NET_saferoute_SEK</vt:lpstr>
      <vt:lpstr>NOK</vt:lpstr>
      <vt:lpstr>PAAS_man.elasticsearch_EUR</vt:lpstr>
      <vt:lpstr>PAAS_man.elasticsearch_SEK</vt:lpstr>
      <vt:lpstr>PAAS_man.kubernetes_EUR</vt:lpstr>
      <vt:lpstr>PAAS_man.kubernetes_SEK</vt:lpstr>
      <vt:lpstr>PAAS_man.mariadb_EUR</vt:lpstr>
      <vt:lpstr>PAAS_man.mariadb_SEK</vt:lpstr>
      <vt:lpstr>PAAS_man.nats_EUR</vt:lpstr>
      <vt:lpstr>PAAS_man.nats_SEK</vt:lpstr>
      <vt:lpstr>PAAS_man.postgres.sql_EUR</vt:lpstr>
      <vt:lpstr>PAAS_man.postgres.sql_SEK</vt:lpstr>
      <vt:lpstr>PAAS_man.redis_EUR</vt:lpstr>
      <vt:lpstr>PAAS_man.redis_SEK</vt:lpstr>
      <vt:lpstr>PRICE_total</vt:lpstr>
      <vt:lpstr>PS_cloudarch.jun_EUR</vt:lpstr>
      <vt:lpstr>PS_cloudarch.jun_SEK</vt:lpstr>
      <vt:lpstr>PS_cloudarch.sen_EUR</vt:lpstr>
      <vt:lpstr>PS_cloudarch.sen_SEK</vt:lpstr>
      <vt:lpstr>PS_consult.jun_EUR</vt:lpstr>
      <vt:lpstr>PS_consult.jun_SEK</vt:lpstr>
      <vt:lpstr>PS_consult.sen_EUR</vt:lpstr>
      <vt:lpstr>PS_consult.sen_SEK</vt:lpstr>
      <vt:lpstr>PS_pm.jun_EUR</vt:lpstr>
      <vt:lpstr>PS_pm.jun_SEK</vt:lpstr>
      <vt:lpstr>PS_pm.sen_EUR</vt:lpstr>
      <vt:lpstr>PS_pm.sen_SEK</vt:lpstr>
      <vt:lpstr>S3_storage.100_EUR</vt:lpstr>
      <vt:lpstr>S3_storage.100_SEK</vt:lpstr>
      <vt:lpstr>S3_storage.1000_EUR</vt:lpstr>
      <vt:lpstr>S3_storage.1000_SEK</vt:lpstr>
      <vt:lpstr>S3_storage.50_EUR</vt:lpstr>
      <vt:lpstr>S3_storage.50_SEK</vt:lpstr>
      <vt:lpstr>S3_storage.500_EUR</vt:lpstr>
      <vt:lpstr>S3_storage.500_SEK</vt:lpstr>
      <vt:lpstr>S3_storage.quote_EUR</vt:lpstr>
      <vt:lpstr>S3_storage.quote_SEK</vt:lpstr>
      <vt:lpstr>SEK</vt:lpstr>
      <vt:lpstr>SW_backup.ninja_EUR</vt:lpstr>
      <vt:lpstr>SW_backup.ninja_SEK</vt:lpstr>
      <vt:lpstr>SW_cluster.control_EUR</vt:lpstr>
      <vt:lpstr>SW_cluster.control_SEK</vt:lpstr>
      <vt:lpstr>SW_ms.sql.ser_EUR</vt:lpstr>
      <vt:lpstr>SW_ms.sql.ser_SEK</vt:lpstr>
      <vt:lpstr>SW_nextcloud_EUR</vt:lpstr>
      <vt:lpstr>SW_nextcloud_SEK</vt:lpstr>
      <vt:lpstr>SW_stackn_EUR</vt:lpstr>
      <vt:lpstr>SW_stackn_SEK</vt:lpstr>
      <vt:lpstr>SW_suse_EUR</vt:lpstr>
      <vt:lpstr>SW_suse_SEK</vt:lpstr>
      <vt:lpstr>SW_suse_SEUR</vt:lpstr>
      <vt:lpstr>SW_win.ser.201X_EUR</vt:lpstr>
      <vt:lpstr>SW_win.ser.201X_SEK</vt:lpstr>
      <vt:lpstr>'EUR - Safespring priser 2020'!Utskriftsområde</vt:lpstr>
      <vt:lpstr>'SEK - Safespring priser 2020'!Utskriftsområde</vt:lpstr>
      <vt:lpstr>VOLUME_fast_EUR</vt:lpstr>
      <vt:lpstr>VOLUME_fast_SEK</vt:lpstr>
      <vt:lpstr>VOLUME_large_EUR</vt:lpstr>
      <vt:lpstr>VOLUME_large_SEK</vt:lpstr>
    </vt:vector>
  </TitlesOfParts>
  <Manager>Fredric Wallsten</Manager>
  <Company>Safespring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Safesprings priser 2020</dc:title>
  <dc:subject>Priskalkyl</dc:subject>
  <dc:creator/>
  <cp:keywords/>
  <dc:description/>
  <cp:lastModifiedBy>Marcus Boberg</cp:lastModifiedBy>
  <cp:revision/>
  <cp:lastPrinted>2020-06-23T08:02:26Z</cp:lastPrinted>
  <dcterms:created xsi:type="dcterms:W3CDTF">2015-05-31T16:02:08Z</dcterms:created>
  <dcterms:modified xsi:type="dcterms:W3CDTF">2020-06-23T08:05:58Z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0x0101001C43B81DAFEB6E48968C393326E48C35</vt:lpwstr>
  </property>
</Properties>
</file>