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SEK/"/>
    </mc:Choice>
  </mc:AlternateContent>
  <xr:revisionPtr revIDLastSave="0" documentId="8_{39CE6614-0B13-D345-9291-E5AC86BB5EE3}" xr6:coauthVersionLast="47" xr6:coauthVersionMax="47" xr10:uidLastSave="{00000000-0000-0000-0000-000000000000}"/>
  <workbookProtection workbookAlgorithmName="SHA-512" workbookHashValue="QFujO+yUGf+aQUONQfrtadkhIBl7APLnfkKZ7sMX+ncAI7oS/RxU2jqt7wiahpq1UmhbhsN7RLLeHpcTyDZEgQ==" workbookSaltValue="JDyRNlYRPR8s9RIFouc9zA==" workbookSpinCount="100000" lockStructure="1"/>
  <bookViews>
    <workbookView xWindow="5880" yWindow="800" windowWidth="28800" windowHeight="17500" tabRatio="530" xr2:uid="{00000000-000D-0000-FFFF-FFFF00000000}"/>
  </bookViews>
  <sheets>
    <sheet name="SEK - Safesprings tjänster 2022" sheetId="3" r:id="rId1"/>
    <sheet name="EUR - Safespring services 2022" sheetId="11" r:id="rId2"/>
    <sheet name="EUR - Safespring services 2021" sheetId="8" state="hidden" r:id="rId3"/>
    <sheet name="NOK - Safespring tjenester 2022" sheetId="12" r:id="rId4"/>
    <sheet name="NOK - Safesprings tjeneste 2021" sheetId="10" state="hidden" r:id="rId5"/>
    <sheet name="SUNET SEK - priser 2020" sheetId="9" state="hidden" r:id="rId6"/>
    <sheet name="Data" sheetId="4" state="hidden" r:id="rId7"/>
  </sheets>
  <definedNames>
    <definedName name="Antal_instanser" localSheetId="1">'EUR - Safespring services 2022'!#REF!</definedName>
    <definedName name="Antal_instanser" localSheetId="3">'NOK - Safespring tjenester 2022'!#REF!</definedName>
    <definedName name="Antal_instanser">'SEK - Safesprings tjänster 2022'!#REF!</definedName>
    <definedName name="b2_list_Antal_instanser" localSheetId="1">'EUR - Safespring services 2022'!$C$45:$C$54</definedName>
    <definedName name="b2_list_Antal_instanser" localSheetId="3">'NOK - Safespring tjenester 2022'!$C$45:$C$54</definedName>
    <definedName name="b2_list_Antal_instanser">'SEK - Safesprings tjänster 2022'!$C$45:$C$54</definedName>
    <definedName name="b2_list_ram" localSheetId="1">'EUR - Safespring services 2022'!$D$45:$D$54</definedName>
    <definedName name="b2_list_ram" localSheetId="3">'NOK - Safespring tjenester 2022'!$D$45:$D$54</definedName>
    <definedName name="b2_list_ram">'SEK - Safesprings tjänster 2022'!$D$45:$D$54</definedName>
    <definedName name="b2_list_vCPU" localSheetId="1">'EUR - Safespring services 2022'!$I$45:$I$54</definedName>
    <definedName name="b2_list_vCPU" localSheetId="3">'NOK - Safespring tjenester 2022'!$I$45:$I$54</definedName>
    <definedName name="b2_list_vCPU">'SEK - Safesprings tjänster 2022'!$I$45:$I$54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1">'EUR - Safespring services 2022'!#REF!</definedName>
    <definedName name="Disk__GB" localSheetId="3">'NOK - Safespring tjenester 2022'!#REF!</definedName>
    <definedName name="Disk__GB">'SEK - Safesprings tjänster 2022'!#REF!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1">'EUR - Safespring services 2022'!#REF!</definedName>
    <definedName name="list_Antal_instanser" localSheetId="3">'NOK - Safespring tjenester 2022'!#REF!</definedName>
    <definedName name="list_Antal_instanser">'SEK - Safesprings tjänster 2022'!#REF!</definedName>
    <definedName name="list_Disk__GB" localSheetId="1">'EUR - Safespring services 2022'!#REF!</definedName>
    <definedName name="list_Disk__GB" localSheetId="3">'NOK - Safespring tjenester 2022'!#REF!</definedName>
    <definedName name="list_Disk__GB">'SEK - Safesprings tjänster 2022'!#REF!</definedName>
    <definedName name="list_RAM__GB" localSheetId="1">'EUR - Safespring services 2022'!#REF!</definedName>
    <definedName name="list_RAM__GB" localSheetId="3">'NOK - Safespring tjenester 2022'!#REF!</definedName>
    <definedName name="list_RAM__GB">'SEK - Safesprings tjänster 2022'!#REF!</definedName>
    <definedName name="list_vCPU" localSheetId="1">'EUR - Safespring services 2022'!#REF!</definedName>
    <definedName name="list_vCPU" localSheetId="3">'NOK - Safespring tjenester 2022'!#REF!</definedName>
    <definedName name="list_vCPU">'SEK - Safesprings tjänster 2022'!#REF!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Data!$F$63</definedName>
    <definedName name="PAAS_man.elasticsearch_SEK">Data!$E$63</definedName>
    <definedName name="PAAS_man.kubernetes_EUR">Data!$F$61</definedName>
    <definedName name="PAAS_man.kubernetes_SEK">Data!$E$61</definedName>
    <definedName name="PAAS_man.kubernetes24_EUR">Data!$F$61</definedName>
    <definedName name="PAAS_man.kubernetes24_SEK">Data!$E$61</definedName>
    <definedName name="PAAS_man.kubernetes8_EUR">Data!$F$62</definedName>
    <definedName name="PAAS_man.kubernetes8_SEK">Data!$E$62</definedName>
    <definedName name="PAAS_man.mariadb_EUR">Data!$F$66</definedName>
    <definedName name="PAAS_man.mariadb_SEK">Data!$E$66</definedName>
    <definedName name="PAAS_man.nats_EUR">Data!$F$65</definedName>
    <definedName name="PAAS_man.nats_SEK">Data!$E$65</definedName>
    <definedName name="PAAS_man.postgres.sql_EUR">Data!$F$62</definedName>
    <definedName name="PAAS_man.postgres.sql_SEK">Data!$E$62</definedName>
    <definedName name="PAAS_man.redis_EUR">Data!$F$64</definedName>
    <definedName name="PAAS_man.redis_SEK">Data!$E$64</definedName>
    <definedName name="PAAS_openshift_EUR">Data!$F$67</definedName>
    <definedName name="PAAS_openshift_SEK">Data!$E$67</definedName>
    <definedName name="PRICE_total">'EUR - Safespring services 2021'!#REF!</definedName>
    <definedName name="PS_cloudarch.jun_EUR">Data!$F$72</definedName>
    <definedName name="PS_cloudarch.jun_SEK">Data!$E$72</definedName>
    <definedName name="PS_cloudarch.sen_EUR">Data!$F$73</definedName>
    <definedName name="PS_cloudarch.sen_SEK">Data!$E$73</definedName>
    <definedName name="PS_consult.jun_EUR">Data!$F$70</definedName>
    <definedName name="PS_consult.jun_SEK">Data!$E$70</definedName>
    <definedName name="PS_consult.sen_EUR">Data!$F$71</definedName>
    <definedName name="PS_consult.sen_SEK">Data!$E$71</definedName>
    <definedName name="PS_pm.jun_EUR">Data!$F$74</definedName>
    <definedName name="PS_pm.jun_SEK">Data!$E$74</definedName>
    <definedName name="PS_pm.sen_EUR">Data!$F$75</definedName>
    <definedName name="PS_pm.sen_SEK">Data!$E$75</definedName>
    <definedName name="RAM__GB" localSheetId="1">'EUR - Safespring services 2022'!#REF!</definedName>
    <definedName name="RAM__GB" localSheetId="3">'NOK - Safespring tjenester 2022'!#REF!</definedName>
    <definedName name="RAM__GB">'SEK - Safesprings tjänster 2022'!#REF!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Data!$F$58</definedName>
    <definedName name="SW_backup.ninja_SEK">Data!$E$58</definedName>
    <definedName name="SW_cluster.control_EUR">Data!$F$57</definedName>
    <definedName name="SW_cluster.control_SEK">Data!$E$57</definedName>
    <definedName name="SW_ms.sql.ser_EUR">Data!$F$53</definedName>
    <definedName name="SW_ms.sql.ser_SEK">Data!$E$53</definedName>
    <definedName name="SW_nextcloud_EUR">Data!$F$55</definedName>
    <definedName name="SW_nextcloud_SEK">Data!$E$55</definedName>
    <definedName name="SW_stackn_EUR">Data!$F$54</definedName>
    <definedName name="SW_stackn_SEK">Data!$E$54</definedName>
    <definedName name="SW_suse_EUR">Data!$F$56</definedName>
    <definedName name="SW_suse_SEK">Data!$E$56</definedName>
    <definedName name="SW_suse_SEUR">Data!$F$56</definedName>
    <definedName name="SW_win.ser.201X_EUR">Data!$F$52</definedName>
    <definedName name="SW_win.ser.201X_SEK">Data!$E$52</definedName>
    <definedName name="_xlnm.Print_Area" localSheetId="2">'EUR - Safespring services 2021'!$I$43:$I$65</definedName>
    <definedName name="_xlnm.Print_Area" localSheetId="1">'EUR - Safespring services 2022'!$A$1:$N$314</definedName>
    <definedName name="_xlnm.Print_Area" localSheetId="3">'NOK - Safespring tjenester 2022'!$A$1:$N$315</definedName>
    <definedName name="_xlnm.Print_Area" localSheetId="4">'NOK - Safesprings tjeneste 2021'!$A$1:$N$305</definedName>
    <definedName name="_xlnm.Print_Area" localSheetId="0">'SEK - Safesprings tjänster 2022'!$A$1:$L$243</definedName>
    <definedName name="_xlnm.Print_Area" localSheetId="5">'SUNET SEK - priser 2020'!$A$1:$N$246</definedName>
    <definedName name="vCPU" localSheetId="1">'EUR - Safespring services 2022'!#REF!</definedName>
    <definedName name="vCPU" localSheetId="3">'NOK - Safespring tjenester 2022'!#REF!</definedName>
    <definedName name="vCPU">'SEK - Safesprings tjänster 2022'!#REF!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1" i="12" l="1"/>
  <c r="K162" i="12"/>
  <c r="K165" i="12"/>
  <c r="K166" i="12"/>
  <c r="K162" i="11"/>
  <c r="K163" i="11"/>
  <c r="K164" i="11"/>
  <c r="K160" i="3"/>
  <c r="K161" i="3"/>
  <c r="K162" i="3"/>
  <c r="K163" i="3"/>
  <c r="K164" i="3"/>
  <c r="K165" i="3"/>
  <c r="C233" i="3" l="1"/>
  <c r="C234" i="12"/>
  <c r="C231" i="12" a="1"/>
  <c r="C231" i="12" s="1"/>
  <c r="K132" i="12"/>
  <c r="K131" i="12"/>
  <c r="I119" i="12"/>
  <c r="K118" i="12"/>
  <c r="K117" i="12"/>
  <c r="D104" i="12"/>
  <c r="I82" i="12"/>
  <c r="I73" i="12"/>
  <c r="E73" i="12" a="1"/>
  <c r="E73" i="12" s="1"/>
  <c r="D73" i="12" a="1"/>
  <c r="D73" i="12" s="1"/>
  <c r="C73" i="12" a="1"/>
  <c r="C73" i="12" s="1"/>
  <c r="I64" i="12"/>
  <c r="F64" i="12" a="1"/>
  <c r="F64" i="12" s="1"/>
  <c r="E64" i="12" a="1"/>
  <c r="E64" i="12" s="1"/>
  <c r="D64" i="12" a="1"/>
  <c r="D64" i="12" s="1"/>
  <c r="C64" i="12" a="1"/>
  <c r="C64" i="12" s="1"/>
  <c r="I55" i="12"/>
  <c r="D55" i="12" a="1"/>
  <c r="D55" i="12" s="1"/>
  <c r="C55" i="12" a="1"/>
  <c r="C55" i="12" s="1"/>
  <c r="I38" i="12"/>
  <c r="E38" i="12" a="1"/>
  <c r="E38" i="12" s="1"/>
  <c r="D38" i="12" a="1"/>
  <c r="D38" i="12" s="1"/>
  <c r="C38" i="12" a="1"/>
  <c r="C38" i="12" s="1"/>
  <c r="C233" i="11"/>
  <c r="K178" i="11"/>
  <c r="K177" i="11"/>
  <c r="K176" i="11"/>
  <c r="K174" i="11"/>
  <c r="K149" i="11"/>
  <c r="I55" i="11"/>
  <c r="C55" i="11" a="1"/>
  <c r="C55" i="11" s="1"/>
  <c r="D55" i="11" a="1"/>
  <c r="D55" i="11" s="1"/>
  <c r="C38" i="11" a="1"/>
  <c r="C38" i="11" s="1"/>
  <c r="D38" i="11" a="1"/>
  <c r="D38" i="11" s="1"/>
  <c r="E38" i="11" a="1"/>
  <c r="E38" i="11" s="1"/>
  <c r="I38" i="11"/>
  <c r="C230" i="11" a="1"/>
  <c r="C230" i="11" s="1"/>
  <c r="K132" i="11"/>
  <c r="K131" i="11"/>
  <c r="I119" i="11"/>
  <c r="K118" i="11"/>
  <c r="K117" i="11"/>
  <c r="D104" i="11"/>
  <c r="I82" i="11"/>
  <c r="I73" i="11"/>
  <c r="E73" i="11" a="1"/>
  <c r="E73" i="11" s="1"/>
  <c r="D73" i="11" a="1"/>
  <c r="D73" i="11" s="1"/>
  <c r="C73" i="11" a="1"/>
  <c r="C73" i="11" s="1"/>
  <c r="I64" i="11"/>
  <c r="F64" i="11" a="1"/>
  <c r="F64" i="11" s="1"/>
  <c r="E64" i="11" a="1"/>
  <c r="E64" i="11" s="1"/>
  <c r="D64" i="11" a="1"/>
  <c r="D64" i="11" s="1"/>
  <c r="C64" i="11" a="1"/>
  <c r="C64" i="11" s="1"/>
  <c r="K132" i="3"/>
  <c r="D38" i="3" a="1"/>
  <c r="D38" i="3" s="1"/>
  <c r="E38" i="3" a="1"/>
  <c r="E38" i="3" s="1"/>
  <c r="I38" i="3"/>
  <c r="C230" i="3" a="1"/>
  <c r="C230" i="3" s="1"/>
  <c r="I55" i="3"/>
  <c r="K117" i="3"/>
  <c r="K118" i="3"/>
  <c r="I119" i="3"/>
  <c r="D64" i="3" a="1"/>
  <c r="D64" i="3" s="1"/>
  <c r="E73" i="3" a="1"/>
  <c r="E73" i="3" s="1"/>
  <c r="D73" i="3" a="1"/>
  <c r="D73" i="3" s="1"/>
  <c r="C73" i="3" a="1"/>
  <c r="C73" i="3" s="1"/>
  <c r="E64" i="3" a="1"/>
  <c r="E64" i="3" s="1"/>
  <c r="F64" i="3" a="1"/>
  <c r="F64" i="3" s="1"/>
  <c r="C64" i="3" a="1"/>
  <c r="C64" i="3" s="1"/>
  <c r="C38" i="3" a="1"/>
  <c r="C38" i="3" s="1"/>
  <c r="D55" i="3" a="1"/>
  <c r="D55" i="3" s="1"/>
  <c r="C55" i="3" a="1"/>
  <c r="C55" i="3" s="1"/>
  <c r="G94" i="3"/>
  <c r="K94" i="3" s="1"/>
  <c r="D104" i="3"/>
  <c r="K131" i="3"/>
  <c r="K149" i="3"/>
  <c r="D117" i="8"/>
  <c r="D108" i="8"/>
  <c r="F67" i="4"/>
  <c r="K175" i="11" s="1"/>
  <c r="E67" i="4"/>
  <c r="K176" i="12" s="1"/>
  <c r="I82" i="3"/>
  <c r="E46" i="4"/>
  <c r="E32" i="4"/>
  <c r="F32" i="4"/>
  <c r="E33" i="4"/>
  <c r="F33" i="4"/>
  <c r="E34" i="4"/>
  <c r="E35" i="4"/>
  <c r="G93" i="3" s="1"/>
  <c r="K93" i="3" s="1"/>
  <c r="F35" i="4"/>
  <c r="E36" i="4"/>
  <c r="D101" i="3" s="1"/>
  <c r="F36" i="4"/>
  <c r="D105" i="8" s="1"/>
  <c r="E37" i="4"/>
  <c r="D102" i="11" s="1"/>
  <c r="F37" i="4"/>
  <c r="D106" i="8" s="1"/>
  <c r="E38" i="4"/>
  <c r="D103" i="11" s="1"/>
  <c r="E99" i="11" s="1" a="1"/>
  <c r="E99" i="11" s="1"/>
  <c r="K99" i="11" s="1" a="1"/>
  <c r="K99" i="11" s="1"/>
  <c r="K105" i="11" s="1"/>
  <c r="F38" i="4"/>
  <c r="D107" i="8" s="1"/>
  <c r="E39" i="4"/>
  <c r="G34" i="4" s="1"/>
  <c r="G39" i="4"/>
  <c r="F31" i="4"/>
  <c r="E31" i="4"/>
  <c r="F30" i="4"/>
  <c r="G94" i="11" s="1"/>
  <c r="E30" i="4"/>
  <c r="D114" i="8" l="1"/>
  <c r="C231" i="3"/>
  <c r="K133" i="12"/>
  <c r="J234" i="12" s="1"/>
  <c r="D104" i="8"/>
  <c r="E103" i="8" s="1" a="1"/>
  <c r="E103" i="8" s="1"/>
  <c r="M103" i="8" s="1" a="1"/>
  <c r="M103" i="8" s="1"/>
  <c r="M109" i="8" s="1"/>
  <c r="G93" i="11"/>
  <c r="K93" i="11" s="1"/>
  <c r="K175" i="3"/>
  <c r="K94" i="11"/>
  <c r="G94" i="12"/>
  <c r="K94" i="12" s="1"/>
  <c r="C232" i="12" s="1"/>
  <c r="D101" i="12"/>
  <c r="D100" i="3"/>
  <c r="D100" i="11"/>
  <c r="D102" i="12"/>
  <c r="G93" i="12"/>
  <c r="K93" i="12" s="1"/>
  <c r="D100" i="12"/>
  <c r="D103" i="12"/>
  <c r="E99" i="12" s="1" a="1"/>
  <c r="E99" i="12" s="1"/>
  <c r="K99" i="12" s="1" a="1"/>
  <c r="K99" i="12" s="1"/>
  <c r="K105" i="12" s="1"/>
  <c r="K133" i="11"/>
  <c r="J233" i="11" s="1"/>
  <c r="D103" i="3"/>
  <c r="E99" i="3" s="1" a="1"/>
  <c r="E99" i="3" s="1"/>
  <c r="K99" i="3" s="1" a="1"/>
  <c r="K99" i="3" s="1"/>
  <c r="K105" i="3" s="1"/>
  <c r="D101" i="11"/>
  <c r="D102" i="3"/>
  <c r="K95" i="3"/>
  <c r="D115" i="8"/>
  <c r="D116" i="8"/>
  <c r="D113" i="8"/>
  <c r="E112" i="8" s="1" a="1"/>
  <c r="E112" i="8" s="1"/>
  <c r="M112" i="8" s="1" a="1"/>
  <c r="M112" i="8" s="1"/>
  <c r="M118" i="8" s="1"/>
  <c r="K133" i="3"/>
  <c r="J233" i="3" s="1"/>
  <c r="K174" i="3"/>
  <c r="K176" i="3"/>
  <c r="K177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61" i="4"/>
  <c r="K173" i="12" s="1"/>
  <c r="F61" i="4"/>
  <c r="F62" i="4"/>
  <c r="E62" i="4"/>
  <c r="K174" i="12" s="1"/>
  <c r="E48" i="4"/>
  <c r="I91" i="8"/>
  <c r="J76" i="10"/>
  <c r="I76" i="10"/>
  <c r="I38" i="10"/>
  <c r="I67" i="10"/>
  <c r="I64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K95" i="11" l="1"/>
  <c r="J231" i="11" s="1"/>
  <c r="C231" i="11"/>
  <c r="L174" i="8"/>
  <c r="K173" i="11"/>
  <c r="G132" i="11"/>
  <c r="L173" i="8"/>
  <c r="G131" i="11"/>
  <c r="K172" i="11"/>
  <c r="K95" i="12"/>
  <c r="J232" i="12" s="1"/>
  <c r="K173" i="3"/>
  <c r="K172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G9" i="4"/>
  <c r="G10" i="4"/>
  <c r="G11" i="4"/>
  <c r="E3" i="4"/>
  <c r="F3" i="4"/>
  <c r="E5" i="4"/>
  <c r="F5" i="4"/>
  <c r="H30" i="9" l="1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G26" i="12" s="1"/>
  <c r="F6" i="4"/>
  <c r="E7" i="4"/>
  <c r="F7" i="4"/>
  <c r="E8" i="4"/>
  <c r="G52" i="11" l="1"/>
  <c r="G54" i="11"/>
  <c r="G51" i="11"/>
  <c r="G47" i="11"/>
  <c r="G48" i="11"/>
  <c r="G45" i="11"/>
  <c r="G46" i="11"/>
  <c r="G50" i="11"/>
  <c r="G53" i="11"/>
  <c r="G49" i="11"/>
  <c r="G48" i="12"/>
  <c r="G45" i="12"/>
  <c r="G47" i="12"/>
  <c r="G52" i="12"/>
  <c r="G51" i="12"/>
  <c r="G46" i="12"/>
  <c r="G53" i="12"/>
  <c r="G49" i="12"/>
  <c r="G50" i="12"/>
  <c r="G54" i="12"/>
  <c r="G32" i="11"/>
  <c r="G31" i="11"/>
  <c r="G33" i="11"/>
  <c r="G29" i="11"/>
  <c r="G28" i="11"/>
  <c r="G36" i="11"/>
  <c r="G35" i="11"/>
  <c r="G26" i="11"/>
  <c r="G37" i="11"/>
  <c r="G27" i="11"/>
  <c r="G34" i="11"/>
  <c r="G30" i="11"/>
  <c r="H62" i="12"/>
  <c r="G37" i="12"/>
  <c r="G28" i="12"/>
  <c r="G30" i="12"/>
  <c r="G33" i="12"/>
  <c r="G36" i="12"/>
  <c r="H60" i="12"/>
  <c r="G31" i="12"/>
  <c r="G35" i="12"/>
  <c r="G32" i="12"/>
  <c r="H61" i="12"/>
  <c r="G27" i="12"/>
  <c r="H63" i="12"/>
  <c r="G34" i="12"/>
  <c r="G29" i="12"/>
  <c r="G49" i="3"/>
  <c r="G50" i="3"/>
  <c r="G54" i="3"/>
  <c r="G46" i="3"/>
  <c r="G48" i="3"/>
  <c r="G51" i="3"/>
  <c r="G52" i="3"/>
  <c r="G53" i="3"/>
  <c r="G45" i="3"/>
  <c r="G47" i="3"/>
  <c r="H61" i="11"/>
  <c r="H60" i="11"/>
  <c r="H63" i="11"/>
  <c r="H62" i="11"/>
  <c r="G28" i="3"/>
  <c r="H59" i="10"/>
  <c r="H60" i="10"/>
  <c r="H61" i="10"/>
  <c r="H58" i="10"/>
  <c r="G27" i="3"/>
  <c r="G37" i="3"/>
  <c r="K37" i="3" s="1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F29" i="12" l="1"/>
  <c r="K29" i="12"/>
  <c r="F31" i="12"/>
  <c r="K31" i="12"/>
  <c r="F46" i="12"/>
  <c r="K46" i="12"/>
  <c r="G63" i="12"/>
  <c r="K63" i="12"/>
  <c r="K52" i="12"/>
  <c r="F52" i="12"/>
  <c r="F33" i="12"/>
  <c r="K33" i="12"/>
  <c r="F51" i="12"/>
  <c r="K51" i="12"/>
  <c r="G60" i="12"/>
  <c r="K60" i="12"/>
  <c r="F36" i="12"/>
  <c r="K36" i="12"/>
  <c r="K47" i="12"/>
  <c r="F47" i="12"/>
  <c r="K30" i="12"/>
  <c r="F30" i="12"/>
  <c r="K26" i="12"/>
  <c r="F26" i="12"/>
  <c r="F28" i="12"/>
  <c r="K28" i="12"/>
  <c r="K50" i="12"/>
  <c r="F50" i="12"/>
  <c r="K48" i="12"/>
  <c r="F48" i="12"/>
  <c r="K61" i="12"/>
  <c r="G61" i="12"/>
  <c r="K45" i="12"/>
  <c r="F45" i="12"/>
  <c r="F32" i="12"/>
  <c r="K32" i="12"/>
  <c r="F37" i="12"/>
  <c r="K37" i="12"/>
  <c r="F49" i="12"/>
  <c r="K49" i="12"/>
  <c r="F34" i="12"/>
  <c r="K34" i="12"/>
  <c r="K27" i="12"/>
  <c r="F27" i="12"/>
  <c r="F54" i="12"/>
  <c r="K54" i="12"/>
  <c r="K35" i="12"/>
  <c r="F35" i="12"/>
  <c r="G62" i="12"/>
  <c r="K62" i="12"/>
  <c r="K53" i="12"/>
  <c r="F53" i="12"/>
  <c r="G62" i="11"/>
  <c r="K62" i="11"/>
  <c r="K54" i="11"/>
  <c r="F54" i="11"/>
  <c r="K50" i="3"/>
  <c r="F50" i="3"/>
  <c r="K46" i="11"/>
  <c r="F46" i="11"/>
  <c r="K27" i="11"/>
  <c r="F27" i="11"/>
  <c r="K35" i="11"/>
  <c r="F35" i="11"/>
  <c r="K60" i="11"/>
  <c r="G60" i="11"/>
  <c r="K50" i="11"/>
  <c r="F50" i="11"/>
  <c r="K51" i="3"/>
  <c r="F51" i="3"/>
  <c r="K47" i="3"/>
  <c r="F47" i="3"/>
  <c r="K30" i="11"/>
  <c r="F30" i="11"/>
  <c r="K61" i="11"/>
  <c r="G61" i="11"/>
  <c r="K45" i="3"/>
  <c r="F45" i="3"/>
  <c r="K48" i="3"/>
  <c r="F48" i="3"/>
  <c r="F51" i="11"/>
  <c r="K51" i="11"/>
  <c r="K45" i="11"/>
  <c r="F45" i="11"/>
  <c r="G63" i="11"/>
  <c r="K63" i="11"/>
  <c r="K53" i="11"/>
  <c r="F53" i="11"/>
  <c r="K34" i="11"/>
  <c r="F34" i="11"/>
  <c r="K37" i="11"/>
  <c r="F37" i="11"/>
  <c r="F52" i="11"/>
  <c r="K52" i="11"/>
  <c r="F28" i="11"/>
  <c r="K28" i="11"/>
  <c r="F36" i="11"/>
  <c r="K36" i="11"/>
  <c r="K53" i="3"/>
  <c r="F53" i="3"/>
  <c r="F46" i="3"/>
  <c r="K46" i="3"/>
  <c r="K49" i="3"/>
  <c r="F49" i="3"/>
  <c r="F54" i="3"/>
  <c r="K54" i="3"/>
  <c r="K26" i="11"/>
  <c r="F26" i="11"/>
  <c r="K31" i="11"/>
  <c r="F31" i="11"/>
  <c r="F29" i="11"/>
  <c r="K29" i="11"/>
  <c r="K49" i="11"/>
  <c r="F49" i="11"/>
  <c r="F32" i="11"/>
  <c r="K32" i="11"/>
  <c r="F33" i="11"/>
  <c r="K33" i="11"/>
  <c r="K52" i="3"/>
  <c r="F52" i="3"/>
  <c r="F47" i="11"/>
  <c r="K47" i="11"/>
  <c r="F48" i="11"/>
  <c r="K48" i="11"/>
  <c r="G66" i="8"/>
  <c r="K50" i="8"/>
  <c r="G50" i="8"/>
  <c r="G61" i="10"/>
  <c r="K61" i="10"/>
  <c r="G58" i="10"/>
  <c r="K58" i="10"/>
  <c r="K51" i="8"/>
  <c r="G51" i="8"/>
  <c r="G60" i="10"/>
  <c r="K60" i="10"/>
  <c r="F37" i="3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38" i="12" l="1"/>
  <c r="K64" i="12"/>
  <c r="K55" i="12"/>
  <c r="K55" i="11"/>
  <c r="K38" i="11"/>
  <c r="K64" i="11"/>
  <c r="K55" i="3"/>
  <c r="K67" i="10"/>
  <c r="L76" i="10"/>
  <c r="K38" i="10"/>
  <c r="H133" i="8"/>
  <c r="J84" i="8"/>
  <c r="I84" i="8"/>
  <c r="J76" i="8"/>
  <c r="I76" i="8"/>
  <c r="I73" i="3"/>
  <c r="F71" i="4"/>
  <c r="F72" i="4"/>
  <c r="F73" i="4"/>
  <c r="F74" i="4"/>
  <c r="F75" i="4"/>
  <c r="F70" i="4"/>
  <c r="F45" i="4"/>
  <c r="K148" i="11" s="1"/>
  <c r="F42" i="4"/>
  <c r="K145" i="11" s="1"/>
  <c r="L167" i="8"/>
  <c r="E70" i="4"/>
  <c r="K200" i="12" s="1"/>
  <c r="E75" i="4"/>
  <c r="K205" i="12" s="1"/>
  <c r="E74" i="4"/>
  <c r="K204" i="12" s="1"/>
  <c r="E73" i="4"/>
  <c r="K203" i="12" s="1"/>
  <c r="E72" i="4"/>
  <c r="K202" i="12" s="1"/>
  <c r="E71" i="4"/>
  <c r="K201" i="12" s="1"/>
  <c r="L198" i="8" l="1"/>
  <c r="K200" i="11"/>
  <c r="L202" i="8"/>
  <c r="K204" i="11"/>
  <c r="L201" i="8"/>
  <c r="K203" i="11"/>
  <c r="L197" i="8"/>
  <c r="K199" i="11"/>
  <c r="L200" i="8"/>
  <c r="K202" i="11"/>
  <c r="L199" i="8"/>
  <c r="K201" i="11"/>
  <c r="M191" i="10"/>
  <c r="M196" i="10"/>
  <c r="M192" i="10"/>
  <c r="K203" i="3"/>
  <c r="M195" i="10"/>
  <c r="K202" i="3"/>
  <c r="M194" i="10"/>
  <c r="K201" i="3"/>
  <c r="M193" i="10"/>
  <c r="K199" i="3"/>
  <c r="K200" i="3"/>
  <c r="K204" i="3"/>
  <c r="L166" i="8"/>
  <c r="L165" i="8"/>
  <c r="M131" i="8"/>
  <c r="F25" i="4"/>
  <c r="E25" i="4"/>
  <c r="F24" i="4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F27" i="4"/>
  <c r="E27" i="4"/>
  <c r="G118" i="12" s="1"/>
  <c r="D131" i="8" l="1"/>
  <c r="E117" i="11"/>
  <c r="F132" i="8"/>
  <c r="G118" i="11"/>
  <c r="G71" i="11"/>
  <c r="F71" i="11" s="1"/>
  <c r="G71" i="12"/>
  <c r="D132" i="8"/>
  <c r="E118" i="11"/>
  <c r="F126" i="10"/>
  <c r="G118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1" i="3"/>
  <c r="D16" i="4"/>
  <c r="F16" i="4" s="1"/>
  <c r="H83" i="8" s="1"/>
  <c r="K9" i="4"/>
  <c r="K10" i="4"/>
  <c r="L178" i="8"/>
  <c r="L177" i="8"/>
  <c r="L176" i="8"/>
  <c r="L175" i="8"/>
  <c r="M158" i="10"/>
  <c r="L164" i="8"/>
  <c r="E58" i="4"/>
  <c r="F58" i="4"/>
  <c r="K165" i="11" s="1"/>
  <c r="F26" i="4"/>
  <c r="E26" i="4"/>
  <c r="G117" i="12" s="1"/>
  <c r="F23" i="4"/>
  <c r="E23" i="4"/>
  <c r="G116" i="12" s="1"/>
  <c r="K116" i="12" s="1"/>
  <c r="K119" i="12" s="1"/>
  <c r="J233" i="12" s="1"/>
  <c r="F49" i="4"/>
  <c r="L157" i="8" s="1"/>
  <c r="E49" i="4"/>
  <c r="M151" i="10" s="1"/>
  <c r="F47" i="4"/>
  <c r="E47" i="4"/>
  <c r="K151" i="12" s="1"/>
  <c r="L155" i="8"/>
  <c r="L154" i="8"/>
  <c r="E45" i="4"/>
  <c r="K149" i="12" s="1"/>
  <c r="F44" i="4"/>
  <c r="E44" i="4"/>
  <c r="K148" i="12" s="1"/>
  <c r="F43" i="4"/>
  <c r="E43" i="4"/>
  <c r="K147" i="12" s="1"/>
  <c r="L151" i="8"/>
  <c r="E42" i="4"/>
  <c r="K146" i="12" s="1"/>
  <c r="L153" i="8" l="1"/>
  <c r="K147" i="11"/>
  <c r="F71" i="12"/>
  <c r="K71" i="12"/>
  <c r="F131" i="8"/>
  <c r="G117" i="11"/>
  <c r="K71" i="11"/>
  <c r="L168" i="8"/>
  <c r="L156" i="8"/>
  <c r="K150" i="11"/>
  <c r="F130" i="8"/>
  <c r="G116" i="11"/>
  <c r="K116" i="11" s="1"/>
  <c r="K119" i="11" s="1"/>
  <c r="J232" i="11" s="1"/>
  <c r="L152" i="8"/>
  <c r="K146" i="11"/>
  <c r="M150" i="10"/>
  <c r="M162" i="10"/>
  <c r="G116" i="3"/>
  <c r="K116" i="3" s="1"/>
  <c r="G117" i="3"/>
  <c r="M146" i="10"/>
  <c r="M148" i="10"/>
  <c r="M145" i="10"/>
  <c r="M147" i="10"/>
  <c r="J231" i="3"/>
  <c r="L82" i="10"/>
  <c r="M149" i="10"/>
  <c r="E14" i="4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5" i="3"/>
  <c r="K147" i="3"/>
  <c r="K146" i="3"/>
  <c r="K148" i="3"/>
  <c r="K150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M130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0" i="11" l="1"/>
  <c r="F70" i="11" s="1"/>
  <c r="G70" i="12"/>
  <c r="G72" i="11"/>
  <c r="K72" i="11" s="1"/>
  <c r="G72" i="12"/>
  <c r="G70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2" i="3"/>
  <c r="H93" i="9"/>
  <c r="M36" i="9"/>
  <c r="K67" i="8"/>
  <c r="M133" i="8"/>
  <c r="L229" i="8" s="1"/>
  <c r="L228" i="8"/>
  <c r="G83" i="8"/>
  <c r="L83" i="8"/>
  <c r="L84" i="8" s="1"/>
  <c r="F19" i="4"/>
  <c r="F20" i="4"/>
  <c r="E20" i="4"/>
  <c r="G80" i="12" s="1"/>
  <c r="E19" i="4"/>
  <c r="E52" i="4"/>
  <c r="F52" i="4"/>
  <c r="K160" i="11" s="1"/>
  <c r="E53" i="4"/>
  <c r="F53" i="4"/>
  <c r="K161" i="11" s="1"/>
  <c r="K70" i="11" l="1"/>
  <c r="K73" i="11" s="1"/>
  <c r="F72" i="11"/>
  <c r="F89" i="8"/>
  <c r="G79" i="11"/>
  <c r="G81" i="11"/>
  <c r="K159" i="11"/>
  <c r="K158" i="11"/>
  <c r="G81" i="12"/>
  <c r="G79" i="12"/>
  <c r="K159" i="12"/>
  <c r="K160" i="12"/>
  <c r="K72" i="12"/>
  <c r="F72" i="12"/>
  <c r="L163" i="8"/>
  <c r="K80" i="12"/>
  <c r="F80" i="12"/>
  <c r="F70" i="12"/>
  <c r="K70" i="12"/>
  <c r="F90" i="8"/>
  <c r="G80" i="11"/>
  <c r="K80" i="11"/>
  <c r="F80" i="11"/>
  <c r="M157" i="10"/>
  <c r="L81" i="10"/>
  <c r="L84" i="10" s="1"/>
  <c r="G81" i="3"/>
  <c r="K81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0" i="3"/>
  <c r="H62" i="3"/>
  <c r="H61" i="3"/>
  <c r="H63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K159" i="3"/>
  <c r="K158" i="3"/>
  <c r="H72" i="8"/>
  <c r="H73" i="8"/>
  <c r="H74" i="8"/>
  <c r="H75" i="8"/>
  <c r="L161" i="8"/>
  <c r="L162" i="8"/>
  <c r="G80" i="3"/>
  <c r="K89" i="8"/>
  <c r="E89" i="8"/>
  <c r="G79" i="3"/>
  <c r="K79" i="12" l="1"/>
  <c r="F79" i="12"/>
  <c r="K81" i="12"/>
  <c r="F81" i="12"/>
  <c r="F81" i="3"/>
  <c r="K73" i="12"/>
  <c r="K79" i="11"/>
  <c r="F79" i="11"/>
  <c r="F81" i="11"/>
  <c r="K81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0" i="3"/>
  <c r="K60" i="3"/>
  <c r="L73" i="8"/>
  <c r="G73" i="8"/>
  <c r="G63" i="3"/>
  <c r="K63" i="3"/>
  <c r="G72" i="8"/>
  <c r="L72" i="8"/>
  <c r="G61" i="3"/>
  <c r="K61" i="3"/>
  <c r="L75" i="8"/>
  <c r="G75" i="8"/>
  <c r="G62" i="3"/>
  <c r="K62" i="3"/>
  <c r="E90" i="8"/>
  <c r="K90" i="8"/>
  <c r="K91" i="8" s="1"/>
  <c r="K82" i="12" l="1"/>
  <c r="J231" i="12" s="1"/>
  <c r="J235" i="12" s="1"/>
  <c r="K82" i="11"/>
  <c r="J230" i="11" s="1"/>
  <c r="J234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0" i="3" l="1"/>
  <c r="F71" i="3"/>
  <c r="F72" i="3"/>
  <c r="K71" i="3" l="1"/>
  <c r="K72" i="3"/>
  <c r="K70" i="3"/>
  <c r="K73" i="3" l="1"/>
  <c r="K38" i="3" l="1"/>
  <c r="K64" i="3" l="1"/>
  <c r="K11" i="4" l="1"/>
  <c r="K119" i="3" l="1"/>
  <c r="J232" i="3" s="1"/>
  <c r="K80" i="3"/>
  <c r="K79" i="3"/>
  <c r="F80" i="3"/>
  <c r="F79" i="3"/>
  <c r="K82" i="3" l="1"/>
  <c r="J230" i="3" s="1"/>
  <c r="J23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<sst xmlns="http://schemas.openxmlformats.org/spreadsheetml/2006/main" count="2178" uniqueCount="675">
  <si>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</si>
  <si>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</si>
  <si>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</si>
  <si>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</si>
  <si>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</si>
  <si>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</si>
  <si>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</si>
  <si>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</si>
  <si>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</si>
  <si>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</si>
  <si>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</si>
  <si>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</si>
  <si>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</si>
  <si>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</si>
  <si>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</si>
  <si>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</si>
  <si>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</si>
  <si>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</si>
  <si>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</si>
  <si>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</si>
  <si>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</si>
  <si>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</si>
  <si>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</si>
  <si>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</si>
  <si>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</si>
  <si>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</si>
  <si>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</si>
  <si>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</si>
  <si>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</si>
  <si>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</si>
  <si>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</si>
  <si>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</si>
  <si>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</si>
  <si>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</si>
  <si>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</si>
  <si>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</si>
  <si>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</si>
  <si>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</si>
  <si>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</si>
  <si>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</si>
  <si>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</si>
  <si>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</si>
  <si>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</si>
  <si>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</si>
  <si>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</si>
  <si>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</si>
  <si>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</si>
  <si>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</si>
  <si>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</si>
  <si>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</si>
  <si>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</si>
  <si>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</si>
  <si>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</si>
  <si>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</si>
  <si>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</si>
  <si>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</si>
  <si>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</si>
  <si>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</si>
  <si>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</si>
  <si>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</si>
  <si>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</si>
  <si>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</si>
  <si>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</si>
  <si>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</si>
  <si>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</si>
  <si>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</si>
  <si>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</si>
  <si>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</si>
  <si>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</si>
  <si>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</si>
  <si>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</si>
  <si>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</si>
  <si>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</si>
  <si>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</si>
  <si>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</si>
  <si>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</si>
  <si>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</si>
  <si>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</si>
  <si>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</si>
  <si>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</si>
  <si>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</si>
  <si>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</si>
  <si>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</si>
  <si>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</si>
  <si>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</si>
  <si>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</si>
  <si>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</si>
  <si>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</si>
  <si>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</si>
  <si>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</si>
  <si>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</si>
  <si>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</rPr>
      <t>*</t>
    </r>
  </si>
  <si>
    <t>Pris</t>
  </si>
  <si>
    <r>
      <t xml:space="preserve">BAAS-on.demand </t>
    </r>
    <r>
      <rPr>
        <sz val="11"/>
        <color theme="6"/>
        <rFont val="Montserrat Medium"/>
      </rPr>
      <t>**</t>
    </r>
  </si>
  <si>
    <t>N/A</t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</si>
  <si>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</si>
  <si>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</si>
  <si>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</si>
  <si>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</si>
  <si>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</si>
  <si>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</si>
  <si>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</si>
  <si>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</si>
  <si>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</si>
  <si>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</si>
  <si>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</si>
  <si>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</si>
  <si>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</si>
  <si>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</si>
  <si>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</si>
  <si>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</si>
  <si>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</si>
  <si>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</si>
  <si>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</si>
  <si>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</si>
  <si>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</si>
  <si>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</si>
  <si>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</si>
  <si>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</si>
  <si>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</si>
  <si>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</si>
  <si>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</si>
  <si>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</si>
  <si>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</si>
  <si>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</si>
  <si>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</si>
  <si>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</si>
  <si>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</si>
  <si>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</si>
  <si>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</si>
  <si>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</si>
  <si>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</si>
  <si>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</si>
  <si>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</si>
  <si>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</si>
  <si>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</si>
  <si>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</si>
  <si>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</si>
  <si>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</si>
  <si>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</si>
  <si>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</si>
  <si>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</si>
  <si>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</si>
  <si>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</si>
  <si>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</si>
  <si>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</si>
  <si>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</si>
  <si>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</si>
  <si>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</si>
  <si>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</si>
  <si>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</si>
  <si>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</si>
  <si>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</si>
  <si>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</si>
  <si>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</si>
  <si>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</si>
  <si>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</si>
  <si>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</si>
  <si>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</si>
  <si>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</si>
  <si>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</si>
  <si>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</si>
  <si>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</si>
  <si>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</si>
  <si>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</si>
  <si>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</si>
  <si>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</si>
  <si>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</si>
  <si>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</si>
  <si>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</si>
  <si>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</si>
  <si>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</si>
  <si>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</si>
  <si>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</si>
  <si>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</si>
  <si>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</si>
  <si>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</si>
  <si>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</si>
  <si>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</si>
  <si>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</si>
  <si>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</si>
  <si>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</si>
  <si>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</si>
  <si>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</si>
  <si>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</si>
  <si>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</si>
  <si>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</si>
  <si>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</si>
  <si>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</si>
  <si>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</si>
  <si>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</si>
  <si>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</si>
  <si>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</si>
  <si>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</si>
  <si>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</si>
  <si>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</si>
  <si>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</si>
  <si>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</si>
  <si>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</si>
  <si>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</si>
  <si>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</si>
  <si>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</si>
  <si>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</si>
  <si>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</si>
  <si>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</si>
  <si>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</si>
  <si>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</si>
  <si>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</si>
  <si>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</si>
  <si>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</si>
  <si>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</si>
  <si>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</si>
  <si>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</si>
  <si>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</si>
  <si>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</si>
  <si>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</si>
  <si>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</si>
  <si>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</si>
  <si>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</si>
  <si>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</si>
  <si>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</si>
  <si>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</si>
  <si>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</si>
  <si>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</si>
  <si>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</si>
  <si>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</si>
  <si>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</si>
  <si>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</si>
  <si>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</si>
  <si>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</si>
  <si>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</si>
  <si>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</si>
  <si>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</si>
  <si>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</si>
  <si>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>Nätverk och Mjukvara</t>
  </si>
  <si>
    <t xml:space="preserve"> Typ</t>
  </si>
  <si>
    <t>Debitering per</t>
  </si>
  <si>
    <t>Publik</t>
  </si>
  <si>
    <t>Datatrafik</t>
  </si>
  <si>
    <t>1 TB/mån inkluderat per projekt (kostnadsfritt inom akademisk sektor)</t>
  </si>
  <si>
    <t xml:space="preserve">Instans </t>
  </si>
  <si>
    <t>Mjukvara och licenser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</si>
  <si>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</si>
  <si>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</si>
  <si>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</si>
  <si>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</si>
  <si>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</si>
  <si>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</si>
  <si>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</si>
  <si>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</si>
  <si>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</si>
  <si>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</si>
  <si>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</si>
  <si>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</si>
  <si>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</si>
  <si>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</si>
  <si>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</si>
  <si>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</si>
  <si>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</si>
  <si>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</si>
  <si>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</si>
  <si>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</si>
  <si>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</si>
  <si>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</si>
  <si>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</si>
  <si>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</si>
  <si>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</si>
  <si>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</si>
  <si>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</si>
  <si>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</si>
  <si>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</si>
  <si>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</si>
  <si>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</si>
  <si>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</si>
  <si>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</si>
  <si>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</si>
  <si>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</si>
  <si>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</si>
  <si>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</si>
  <si>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</si>
  <si>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</si>
  <si>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</si>
  <si>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</si>
  <si>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</si>
  <si>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</si>
  <si>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</si>
  <si>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</si>
  <si>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</si>
  <si>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</si>
  <si>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Prisen er per beskyttet GB på klienten.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</si>
  <si>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Prisen er per lagret GB i tjenesten etter deduplisering og komprimering.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</si>
  <si>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</si>
  <si>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</si>
  <si>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</si>
  <si>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</si>
  <si>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</si>
  <si>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</si>
  <si>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</si>
  <si>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</si>
  <si>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</si>
  <si>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</si>
  <si>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</si>
  <si>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</si>
  <si>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</si>
  <si>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</si>
  <si>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</si>
  <si>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</si>
  <si>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</si>
  <si>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</si>
  <si>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</si>
  <si>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</si>
  <si>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</si>
  <si>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</si>
  <si>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</si>
  <si>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</si>
  <si>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</si>
  <si>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</si>
  <si>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</si>
  <si>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</si>
  <si>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</si>
  <si>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</si>
  <si>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</si>
  <si>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</si>
  <si>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</si>
  <si>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</si>
  <si>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</si>
  <si>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</si>
  <si>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</si>
  <si>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</si>
  <si>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</si>
  <si>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</si>
  <si>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</si>
  <si>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</si>
  <si>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</si>
  <si>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</si>
  <si>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</si>
  <si>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</si>
  <si>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</si>
  <si>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</si>
  <si>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</si>
  <si>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</si>
  <si>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</si>
  <si>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</si>
  <si>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</si>
  <si>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</si>
  <si>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</si>
  <si>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</si>
  <si>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</si>
  <si>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</si>
  <si>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</si>
  <si>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</si>
  <si>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</si>
  <si>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</si>
  <si>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</si>
  <si>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</si>
  <si>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</si>
  <si>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</si>
  <si>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</si>
  <si>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</si>
  <si>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</si>
  <si>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</si>
  <si>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</si>
  <si>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</si>
  <si>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</si>
  <si>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</si>
  <si>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Typ</t>
  </si>
  <si>
    <t>Antal</t>
  </si>
  <si>
    <t>IAAS-ram-sunet-b-m</t>
  </si>
  <si>
    <t xml:space="preserve">  vCPU</t>
  </si>
  <si>
    <t>IAAS-vcpu-sunet-b-m</t>
  </si>
  <si>
    <t xml:space="preserve">  RAM</t>
  </si>
  <si>
    <t>IAAS-ssd-sunet</t>
  </si>
  <si>
    <t>Bare metal compute</t>
  </si>
  <si>
    <t>SUNET</t>
  </si>
  <si>
    <t>SUNET påslag</t>
  </si>
  <si>
    <t>Procent</t>
  </si>
  <si>
    <t>Safespring påslag</t>
  </si>
  <si>
    <t>SUNETs påslag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</si>
  <si>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</si>
  <si>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</si>
  <si>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</si>
  <si>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</si>
  <si>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</si>
  <si>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</si>
  <si>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</si>
  <si>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</si>
  <si>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</si>
  <si>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</si>
  <si>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</si>
  <si>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</si>
  <si>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</si>
  <si>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</si>
  <si>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</si>
  <si>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</si>
  <si>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</si>
  <si>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</si>
  <si>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</si>
  <si>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</si>
  <si>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</si>
  <si>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</si>
  <si>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</si>
  <si>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</si>
  <si>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</si>
  <si>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</si>
  <si>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</si>
  <si>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</si>
  <si>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</rPr>
      <t>Instructions:</t>
    </r>
    <r>
      <rPr>
        <sz val="11"/>
        <color theme="1"/>
        <rFont val="Montserrat Light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</si>
  <si>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</si>
  <si>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</si>
  <si>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</rPr>
      <t>Instruktioner:</t>
    </r>
    <r>
      <rPr>
        <sz val="11"/>
        <color theme="1"/>
        <rFont val="Montserrat Light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</si>
  <si>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</si>
  <si>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</si>
  <si>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</si>
  <si>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</si>
  <si>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</si>
  <si>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</si>
  <si>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</si>
  <si>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</si>
  <si>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</si>
  <si>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</si>
  <si>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</si>
  <si>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</si>
  <si>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</si>
  <si>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</si>
  <si>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</si>
  <si>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</si>
  <si>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</si>
  <si>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</si>
  <si>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</si>
  <si>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</si>
  <si>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</si>
  <si>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</si>
  <si>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</si>
  <si>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</si>
  <si>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</si>
  <si>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</si>
  <si>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Ej support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</si>
  <si>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</si>
  <si>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</si>
  <si>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</si>
  <si>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</si>
  <si>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</si>
  <si>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</si>
  <si>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</si>
  <si>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</si>
  <si>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</si>
  <si>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</si>
  <si>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</si>
  <si>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</si>
  <si>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t>Instanser utan lokal disk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</si>
  <si>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kvantitet i de färgade fälten. </t>
    </r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</si>
  <si>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man.redis</t>
    </r>
  </si>
  <si>
    <t>Central blocklagring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</si>
  <si>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tjänst i de färgade fälten. 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</si>
  <si>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är en datareduktion som görs i tjänsten. Beroende på data varierar det normalt mellan 45%-90%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</si>
  <si>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 xml:space="preserve">Priset är per skyddad GB på klienten. 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</si>
  <si>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</si>
  <si>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</t>
    </r>
  </si>
  <si>
    <r>
      <rPr>
        <sz val="14"/>
        <color theme="4"/>
        <rFont val="Hind Light"/>
      </rPr>
      <t>Deduplicering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</si>
  <si>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t>Safespring erbjuder flera mjukvaror och licenser.</t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</si>
  <si>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</si>
  <si>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</si>
  <si>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p1.2xlarge.16d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</si>
  <si>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p1.8xlarge.32d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</si>
  <si>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</si>
  <si>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</si>
  <si>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</si>
  <si>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</si>
  <si>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</si>
  <si>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1000</t>
    </r>
  </si>
  <si>
    <r>
      <rPr>
        <sz val="10"/>
        <color theme="1" tint="0.39997558519241921"/>
        <rFont val="Montserrat Medium"/>
      </rPr>
      <t>INSTANCE</t>
    </r>
    <r>
      <rPr>
        <sz val="11"/>
        <color theme="1" tint="0.39997558519241921"/>
        <rFont val="Montserrat Medium"/>
      </rPr>
      <t>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</si>
  <si>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</si>
  <si>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</si>
  <si>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</si>
  <si>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</si>
  <si>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</si>
  <si>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r2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</si>
  <si>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</si>
  <si>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</si>
  <si>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</si>
  <si>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b2 .c4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</si>
  <si>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c4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</si>
  <si>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</si>
  <si>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</si>
  <si>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</si>
  <si>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r64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</si>
  <si>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glm.large.1d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</si>
  <si>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glm.xlarge.2d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</si>
  <si>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glm.2xlarge.4d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</si>
  <si>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glm.4xlarge.8d</t>
    </r>
  </si>
  <si>
    <r>
      <rPr>
        <sz val="10"/>
        <color theme="1" tint="0.39997558519241921"/>
        <rFont val="Montserrat Medium"/>
      </rPr>
      <t>INSTANCE</t>
    </r>
    <r>
      <rPr>
        <sz val="9"/>
        <color theme="1" tint="0.39997558519241921"/>
        <rFont val="Montserrat Medium"/>
      </rPr>
      <t>-</t>
    </r>
    <r>
      <rPr>
        <sz val="11"/>
        <color theme="1"/>
        <rFont val="Montserrat Medium"/>
      </rPr>
      <t>p1.4xlarge.16d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</si>
  <si>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large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</si>
  <si>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fast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</si>
  <si>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snapshot</t>
    </r>
  </si>
  <si>
    <r>
      <rPr>
        <sz val="10"/>
        <color theme="1" tint="0.39997558519241921"/>
        <rFont val="Montserrat Medium"/>
      </rPr>
      <t>S3-</t>
    </r>
    <r>
      <rPr>
        <sz val="11"/>
        <color theme="1"/>
        <rFont val="Montserrat Medium"/>
      </rPr>
      <t>storage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</si>
  <si>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on.demand </t>
    </r>
    <r>
      <rPr>
        <vertAlign val="superscript"/>
        <sz val="11"/>
        <color theme="6"/>
        <rFont val="Montserrat SemiBold"/>
      </rPr>
      <t>2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</si>
  <si>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small </t>
    </r>
    <r>
      <rPr>
        <vertAlign val="superscript"/>
        <sz val="11"/>
        <color theme="6"/>
        <rFont val="Montserrat SemiBold"/>
      </rPr>
      <t>3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</si>
  <si>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large </t>
    </r>
    <r>
      <rPr>
        <vertAlign val="superscript"/>
        <sz val="11"/>
        <color theme="6"/>
        <rFont val="Montserrat SemiBold"/>
      </rPr>
      <t>4</t>
    </r>
  </si>
  <si>
    <r>
      <rPr>
        <sz val="10"/>
        <color theme="1" tint="0.39997558519241921"/>
        <rFont val="Montserrat Medium"/>
      </rPr>
      <t>PAAS</t>
    </r>
    <r>
      <rPr>
        <sz val="10"/>
        <color theme="1"/>
        <rFont val="Montserrat Medium"/>
      </rPr>
      <t>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</si>
  <si>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man.kubernetes24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</si>
  <si>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</si>
  <si>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publicv6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</si>
  <si>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ingress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</si>
  <si>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egress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</si>
  <si>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mgn.slb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</si>
  <si>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rdns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</si>
  <si>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byoip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</si>
  <si>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win.ser.2016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</si>
  <si>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win.ser.2019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</si>
  <si>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ms.sql.ser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</si>
  <si>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nextcloud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</si>
  <si>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suse.linux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</si>
  <si>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cluster.control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</si>
  <si>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backup.ninja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</si>
  <si>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</si>
  <si>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man.elasticsearch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</si>
  <si>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openshift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</si>
  <si>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man.nats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</si>
  <si>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man.mariadb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</si>
  <si>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base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</si>
  <si>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standard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</si>
  <si>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premium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</si>
  <si>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</si>
  <si>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</si>
  <si>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</si>
  <si>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</si>
  <si>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</si>
  <si>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pm.sen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</si>
  <si>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intro.iaas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</si>
  <si>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cxo.strategy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</si>
  <si>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intro.cloud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</si>
  <si>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devops.microservices</t>
    </r>
  </si>
  <si>
    <t>Kontakta Safespring för fullständig offert</t>
  </si>
  <si>
    <t>Produkt</t>
  </si>
  <si>
    <t>Lagring</t>
  </si>
  <si>
    <r>
      <rPr>
        <sz val="10"/>
        <color theme="1" tint="0.39997558519241921"/>
        <rFont val="Montserrat Medium"/>
      </rPr>
      <t>S3</t>
    </r>
    <r>
      <rPr>
        <sz val="11"/>
        <color theme="1" tint="0.39997558519241921"/>
        <rFont val="Montserrat Medium"/>
      </rPr>
      <t>-</t>
    </r>
    <r>
      <rPr>
        <sz val="11"/>
        <color theme="3"/>
        <rFont val="Montserrat Medium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</si>
  <si>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</si>
  <si>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</rPr>
      <t>5</t>
    </r>
  </si>
  <si>
    <r>
      <t>Central blocklagring kan köpas till insatserna.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</si>
  <si>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Instanser med lokal NVMe-disk</t>
  </si>
  <si>
    <t>Per TB i 30 dagar</t>
  </si>
  <si>
    <t>Prismodell baserat på antal lagrade TB i månaden, se tabellen nedan.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</si>
  <si>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</si>
  <si>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</si>
  <si>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</si>
  <si>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</si>
  <si>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</si>
  <si>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</si>
  <si>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Snabb objektlagring med standarden S3. (Archive är anpassad för längre lagringstider)</t>
  </si>
  <si>
    <t>Infrastructure as a service can run on an open source license or with a Windows license.</t>
  </si>
  <si>
    <t>Instances with local NVMe storage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</si>
  <si>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</si>
  <si>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</si>
  <si>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</si>
  <si>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</si>
  <si>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</si>
  <si>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t>Fast object storage with S3 standard. (Archive is adapted for longer storage times)</t>
  </si>
  <si>
    <t>Price model based on the number of stored TB per month, see the table below.</t>
  </si>
  <si>
    <r>
      <t xml:space="preserve">Instructions: </t>
    </r>
    <r>
      <rPr>
        <sz val="11"/>
        <color theme="1"/>
        <rFont val="Montserrat Light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</si>
  <si>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</si>
  <si>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</si>
  <si>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</si>
  <si>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</si>
  <si>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</si>
  <si>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</rPr>
      <t>Deduplication</t>
    </r>
    <r>
      <rPr>
        <sz val="14"/>
        <color theme="4"/>
        <rFont val="Hind Light"/>
      </rPr>
      <t xml:space="preserve"> 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</si>
  <si>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</si>
  <si>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The price is per protected GB on the client.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</si>
  <si>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</si>
  <si>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 The service includes 1000GB in the fixed monthly price.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</si>
  <si>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</si>
  <si>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</si>
  <si>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</si>
  <si>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</si>
  <si>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</si>
  <si>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</si>
  <si>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</si>
  <si>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</si>
  <si>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</si>
  <si>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</si>
  <si>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</si>
  <si>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1 TB / month included per project (free of charge in the academic sector)</t>
  </si>
  <si>
    <t>Software and licenses</t>
  </si>
  <si>
    <t>Safespring offers several software and licenses.</t>
  </si>
  <si>
    <t>Safespring offers several platform services.</t>
  </si>
  <si>
    <t>No support available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</si>
  <si>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</si>
  <si>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</si>
  <si>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</si>
  <si>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</si>
  <si>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</si>
  <si>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r>
      <t xml:space="preserve">3% of total volume </t>
    </r>
    <r>
      <rPr>
        <vertAlign val="superscript"/>
        <sz val="11"/>
        <color theme="6"/>
        <rFont val="Montserrat SemiBold"/>
      </rPr>
      <t>5</t>
    </r>
  </si>
  <si>
    <r>
      <rPr>
        <i/>
        <vertAlign val="superscript"/>
        <sz val="10"/>
        <color theme="6"/>
        <rFont val="Montserrat SemiBold"/>
      </rPr>
      <t>5</t>
    </r>
    <r>
      <rPr>
        <i/>
        <sz val="10"/>
        <color theme="1"/>
        <rFont val="Montserrat Light"/>
      </rPr>
      <t xml:space="preserve"> The support fee is charged at 3 % of the total volume with a minimum fee of 1500 SEK per month.</t>
    </r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</si>
  <si>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</si>
  <si>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</si>
  <si>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</si>
  <si>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</si>
  <si>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</si>
  <si>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</si>
  <si>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</si>
  <si>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</si>
  <si>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</si>
  <si>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</si>
  <si>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</si>
  <si>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</si>
  <si>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Instances without local storage</t>
  </si>
  <si>
    <t>Backup</t>
  </si>
  <si>
    <t>Free</t>
  </si>
  <si>
    <t>Infrastruktur kan kjøres med en gratis Open Source-lisens eller med en Windows-lisens.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</si>
  <si>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</si>
  <si>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</si>
  <si>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</si>
  <si>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</si>
  <si>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</si>
  <si>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</si>
  <si>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Blokklagring</t>
  </si>
  <si>
    <t>Prismodell basert på antall lagrede TB per måned, se tabellen nedenfor.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</si>
  <si>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</si>
  <si>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</si>
  <si>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</si>
  <si>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</si>
  <si>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</si>
  <si>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</rPr>
      <t>Deduplisering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</si>
  <si>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er en datareduksjon gjort i tjenesten. Avhengig av dataene varierer det normalt mellom 45 % -90 %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</si>
  <si>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Prisen er per beskyttet GB på klienten.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</si>
  <si>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</si>
  <si>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</si>
  <si>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</si>
  <si>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</si>
  <si>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</si>
  <si>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</si>
  <si>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</si>
  <si>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</si>
  <si>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</si>
  <si>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</si>
  <si>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</si>
  <si>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</si>
  <si>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Safespring tilbyr flere programvare og lisenser.</t>
  </si>
  <si>
    <t>Plattformtjenester</t>
  </si>
  <si>
    <t>Safespring tilbyr flere plattformtjenester.</t>
  </si>
  <si>
    <t>Support gjelder Safespring Compute, Safespring Storage og Safespring Backup.</t>
  </si>
  <si>
    <t>Safespring tilbyr flere støtteavtaler.</t>
  </si>
  <si>
    <r>
      <t xml:space="preserve">3 % av totalt volym </t>
    </r>
    <r>
      <rPr>
        <vertAlign val="superscript"/>
        <sz val="11"/>
        <color theme="6"/>
        <rFont val="Montserrat SemiBold"/>
      </rPr>
      <t>5</t>
    </r>
  </si>
  <si>
    <t>Konsulttjenester</t>
  </si>
  <si>
    <t>Safespring tilbyr flere konsulttjenester.</t>
  </si>
  <si>
    <t>Safespring tilbyr flere utdanninger innen IaaS og molntjenester.</t>
  </si>
  <si>
    <t>Fire dager</t>
  </si>
  <si>
    <t>Kontakt Safespring for et komplett tilbud</t>
  </si>
  <si>
    <r>
      <t>Central block storage can be purchased for the instances. See "</t>
    </r>
    <r>
      <rPr>
        <sz val="9"/>
        <color theme="5"/>
        <rFont val="Montserrat SemiBold"/>
      </rPr>
      <t>Central block storag</t>
    </r>
    <r>
      <rPr>
        <sz val="9"/>
        <color theme="3"/>
        <rFont val="Montserrat Light"/>
      </rPr>
      <t>e" in the price list.</t>
    </r>
  </si>
  <si>
    <r>
      <t>Sentral blokklagring kan kjøpes til innsatsene.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</si>
  <si>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Rask objektlagring med standard S3. (Arkiv er tilpasset lengre lagringstider)</t>
  </si>
  <si>
    <t>Hverdager</t>
  </si>
  <si>
    <r>
      <t xml:space="preserve">Instruksjoner: </t>
    </r>
    <r>
      <rPr>
        <sz val="11"/>
        <color theme="1"/>
        <rFont val="Montserrat Light"/>
      </rPr>
      <t>Gjør et valg i de fargede feltene.</t>
    </r>
  </si>
  <si>
    <r>
      <t>Central blocklagring kan köpas till instanserna.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</si>
  <si>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Central blocklagring kan köpas till instanserna. Se "Central blocklagring" i prislistan.</t>
  </si>
  <si>
    <r>
      <t>Sentral blokklagring kan kjøpes til instansene.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</si>
  <si>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</si>
  <si>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</si>
  <si>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</si>
  <si>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</si>
  <si>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</rPr>
      <t xml:space="preserve"> | IaaS</t>
    </r>
  </si>
  <si>
    <r>
      <t xml:space="preserve">Safespring Storage </t>
    </r>
    <r>
      <rPr>
        <sz val="48"/>
        <color theme="8" tint="0.59999389629810485"/>
        <rFont val="Hind Light"/>
      </rPr>
      <t>| S3</t>
    </r>
  </si>
  <si>
    <t xml:space="preserve">Kör Compliant Kubernetes som en managerad tjänst. 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</si>
  <si>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</si>
  <si>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</si>
  <si>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</si>
  <si>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win.ser.2022</t>
    </r>
  </si>
  <si>
    <t>Windows Server 2022</t>
  </si>
  <si>
    <r>
      <t>Safespring Backup</t>
    </r>
    <r>
      <rPr>
        <sz val="48"/>
        <color theme="8" tint="0.59999389629810485"/>
        <rFont val="Hind Light"/>
      </rPr>
      <t xml:space="preserve"> | SP</t>
    </r>
  </si>
  <si>
    <r>
      <t xml:space="preserve">Safespring Compute </t>
    </r>
    <r>
      <rPr>
        <sz val="48"/>
        <color theme="4"/>
        <rFont val="Hind Light"/>
      </rPr>
      <t>| IaaS</t>
    </r>
  </si>
  <si>
    <r>
      <t xml:space="preserve">Safespring Storage </t>
    </r>
    <r>
      <rPr>
        <sz val="48"/>
        <color theme="4"/>
        <rFont val="Hind Light"/>
      </rPr>
      <t>| S3</t>
    </r>
  </si>
  <si>
    <r>
      <t xml:space="preserve">Safespring Backup </t>
    </r>
    <r>
      <rPr>
        <sz val="48"/>
        <color theme="4"/>
        <rFont val="Hind Light"/>
      </rPr>
      <t>| SP</t>
    </r>
  </si>
  <si>
    <t>Priskalkylator 2022-09-27</t>
  </si>
  <si>
    <t>Price calculator 2022-09-27</t>
  </si>
  <si>
    <t>Priskalkulator 27.09.2022</t>
  </si>
  <si>
    <r>
      <rPr>
        <sz val="10"/>
        <color theme="6"/>
        <rFont val="Montserrat SemiBold"/>
      </rPr>
      <t>5</t>
    </r>
    <r>
      <rPr>
        <sz val="10"/>
        <color theme="1"/>
        <rFont val="Montserrat SemiBold"/>
      </rPr>
      <t xml:space="preserve"> </t>
    </r>
    <r>
      <rPr>
        <i/>
        <sz val="10"/>
        <color theme="1"/>
        <rFont val="Montserrat Light"/>
      </rPr>
      <t>The support fee is charged at 3 % of the total volume with a minimum fee of 1500 SEK per month.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</si>
</sst>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</numFmts>
  <fonts count="7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  <font>
      <sz val="11"/>
      <color rgb="FF414141"/>
      <name val="Montserrat Medium"/>
    </font>
    <font>
      <sz val="11"/>
      <color rgb="FF414141"/>
      <name val="Montserrat Light"/>
    </font>
    <font>
      <sz val="11"/>
      <color rgb="FF000000"/>
      <name val="Calibri"/>
      <family val="2"/>
      <scheme val="minor"/>
    </font>
    <font>
      <b/>
      <sz val="9"/>
      <color theme="1"/>
      <name val="Montserrat Light"/>
    </font>
    <font>
      <i/>
      <sz val="10"/>
      <color theme="1"/>
      <name val="Montserrat Light"/>
    </font>
    <font>
      <i/>
      <sz val="11"/>
      <color theme="1" tint="0.39997558519241921"/>
      <name val="Montserrat Medium"/>
    </font>
    <font>
      <i/>
      <sz val="11"/>
      <color theme="1" tint="0.39997558519241921"/>
      <name val="Montserrat Light"/>
    </font>
    <font>
      <sz val="11"/>
      <color rgb="FFEBF1F5"/>
      <name val="Montserrat Light"/>
    </font>
    <font>
      <sz val="11"/>
      <color theme="1"/>
      <name val="Montserrat SemiBold"/>
    </font>
    <font>
      <sz val="11"/>
      <color theme="1" tint="0.39997558519241921"/>
      <name val="Montserrat Medium"/>
    </font>
    <font>
      <vertAlign val="superscript"/>
      <sz val="14"/>
      <color theme="6"/>
      <name val="Montserrat SemiBold"/>
    </font>
    <font>
      <vertAlign val="superscript"/>
      <sz val="11"/>
      <color theme="6"/>
      <name val="Montserrat SemiBold"/>
    </font>
    <font>
      <sz val="10"/>
      <color theme="6"/>
      <name val="Montserrat SemiBold"/>
    </font>
    <font>
      <i/>
      <sz val="10"/>
      <color theme="6"/>
      <name val="Montserrat Light"/>
    </font>
    <font>
      <sz val="10"/>
      <color theme="1" tint="0.39997558519241921"/>
      <name val="Montserrat Medium"/>
    </font>
    <font>
      <sz val="9"/>
      <color theme="1" tint="0.39997558519241921"/>
      <name val="Montserrat Medium"/>
    </font>
    <font>
      <sz val="10"/>
      <color theme="1"/>
      <name val="Montserrat Medium"/>
    </font>
    <font>
      <sz val="9"/>
      <color theme="6"/>
      <name val="Montserrat SemiBold"/>
    </font>
    <font>
      <sz val="11"/>
      <color theme="9"/>
      <name val="Montserrat SemiBold"/>
    </font>
    <font>
      <sz val="12"/>
      <color rgb="FF000000"/>
      <name val="Calibri"/>
      <family val="2"/>
    </font>
    <font>
      <sz val="12"/>
      <color theme="4"/>
      <name val="Hind Light"/>
    </font>
    <font>
      <i/>
      <vertAlign val="superscript"/>
      <sz val="10"/>
      <color theme="6"/>
      <name val="Montserrat SemiBold"/>
    </font>
    <font>
      <sz val="9"/>
      <color theme="5"/>
      <name val="Montserrat SemiBold"/>
    </font>
    <font>
      <sz val="48"/>
      <color theme="8" tint="0.59999389629810485"/>
      <name val="Hind Light"/>
    </font>
    <font>
      <sz val="48"/>
      <color theme="4"/>
      <name val="Hind Light"/>
    </font>
    <font>
      <sz val="10"/>
      <color theme="1"/>
      <name val="Montserrat SemiBold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/>
      <top style="hair">
        <color theme="4" tint="0.59999389629810485"/>
      </top>
      <bottom/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094">
    <xf numFmtId="0" fontId="0" fillId="0" borderId="0" xfId="0"/>
    <xf numFmtId="0" fontId="9" fillId="0" borderId="0" xfId="0" applyFont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22" fillId="2" borderId="0" xfId="0" applyFont="1" applyFill="1" applyAlignment="1" applyProtection="1">
      <alignment vertical="center" readingOrder="1"/>
      <protection hidden="1"/>
    </xf>
    <xf numFmtId="0" fontId="23" fillId="0" borderId="1" xfId="0" applyFont="1" applyBorder="1" applyAlignment="1" applyProtection="1">
      <alignment horizontal="left" readingOrder="1"/>
      <protection hidden="1"/>
    </xf>
    <xf numFmtId="0" fontId="23" fillId="0" borderId="1" xfId="0" applyFont="1" applyBorder="1" applyAlignment="1" applyProtection="1">
      <alignment horizontal="center" readingOrder="1"/>
      <protection hidden="1"/>
    </xf>
    <xf numFmtId="0" fontId="23" fillId="0" borderId="1" xfId="0" applyFont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4" fillId="4" borderId="0" xfId="2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12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left" vertical="center" readingOrder="1"/>
      <protection hidden="1"/>
    </xf>
    <xf numFmtId="0" fontId="38" fillId="0" borderId="0" xfId="0" applyFont="1" applyAlignment="1" applyProtection="1">
      <alignment horizontal="left" vertical="center" readingOrder="1"/>
      <protection hidden="1"/>
    </xf>
    <xf numFmtId="0" fontId="14" fillId="0" borderId="0" xfId="0" applyFont="1" applyAlignment="1" applyProtection="1">
      <alignment horizontal="left" vertical="center" readingOrder="1"/>
      <protection hidden="1"/>
    </xf>
    <xf numFmtId="0" fontId="22" fillId="0" borderId="0" xfId="0" applyFont="1" applyAlignment="1" applyProtection="1">
      <alignment horizontal="left" readingOrder="1"/>
      <protection hidden="1"/>
    </xf>
    <xf numFmtId="0" fontId="10" fillId="0" borderId="0" xfId="0" applyFont="1" applyAlignment="1" applyProtection="1">
      <alignment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Alignment="1" applyProtection="1">
      <alignment vertical="center"/>
      <protection hidden="1"/>
    </xf>
    <xf numFmtId="164" fontId="19" fillId="4" borderId="0" xfId="0" applyNumberFormat="1" applyFont="1" applyFill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center" vertical="center" readingOrder="1"/>
      <protection hidden="1"/>
    </xf>
    <xf numFmtId="164" fontId="19" fillId="0" borderId="0" xfId="0" applyNumberFormat="1" applyFont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164" fontId="6" fillId="4" borderId="0" xfId="0" applyNumberFormat="1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11" fillId="4" borderId="0" xfId="0" applyFont="1" applyFill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vertical="center" readingOrder="1"/>
      <protection hidden="1"/>
    </xf>
    <xf numFmtId="6" fontId="37" fillId="0" borderId="0" xfId="0" applyNumberFormat="1" applyFont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Alignment="1" applyProtection="1">
      <alignment vertical="center" shrinkToFit="1" readingOrder="1"/>
      <protection hidden="1"/>
    </xf>
    <xf numFmtId="0" fontId="9" fillId="2" borderId="0" xfId="0" applyFont="1" applyFill="1" applyAlignment="1" applyProtection="1">
      <alignment vertical="center"/>
      <protection hidden="1"/>
    </xf>
    <xf numFmtId="0" fontId="9" fillId="2" borderId="0" xfId="0" applyFont="1" applyFill="1" applyAlignment="1" applyProtection="1">
      <alignment horizontal="left" vertical="center"/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2" borderId="0" xfId="0" applyFont="1" applyFill="1" applyAlignment="1" applyProtection="1">
      <alignment horizontal="right" vertical="center"/>
      <protection hidden="1"/>
    </xf>
    <xf numFmtId="0" fontId="16" fillId="4" borderId="0" xfId="0" applyFont="1" applyFill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Alignment="1" applyProtection="1">
      <alignment horizontal="left" vertical="center" readingOrder="1"/>
      <protection hidden="1"/>
    </xf>
    <xf numFmtId="0" fontId="38" fillId="4" borderId="0" xfId="0" applyFont="1" applyFill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Alignment="1" applyProtection="1">
      <alignment horizontal="left" vertical="center" readingOrder="1"/>
      <protection hidden="1"/>
    </xf>
    <xf numFmtId="8" fontId="16" fillId="0" borderId="0" xfId="0" applyNumberFormat="1" applyFont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horizontal="left" vertical="center" indent="1" readingOrder="1"/>
      <protection hidden="1"/>
    </xf>
    <xf numFmtId="0" fontId="38" fillId="0" borderId="6" xfId="0" applyFont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Border="1" applyAlignment="1" applyProtection="1">
      <alignment horizontal="left" vertical="center" readingOrder="1"/>
      <protection hidden="1"/>
    </xf>
    <xf numFmtId="0" fontId="20" fillId="0" borderId="6" xfId="0" applyFont="1" applyBorder="1" applyAlignment="1" applyProtection="1">
      <alignment horizontal="left" vertical="center" readingOrder="1"/>
      <protection hidden="1"/>
    </xf>
    <xf numFmtId="0" fontId="6" fillId="0" borderId="6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Border="1" applyAlignment="1" applyProtection="1">
      <alignment horizontal="center" vertical="center" readingOrder="1"/>
      <protection hidden="1"/>
    </xf>
    <xf numFmtId="0" fontId="20" fillId="0" borderId="6" xfId="0" applyFont="1" applyBorder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readingOrder="1"/>
      <protection hidden="1"/>
    </xf>
    <xf numFmtId="0" fontId="47" fillId="0" borderId="0" xfId="0" applyFont="1" applyAlignment="1" applyProtection="1">
      <alignment horizontal="left" vertical="center" readingOrder="1"/>
      <protection hidden="1"/>
    </xf>
    <xf numFmtId="166" fontId="47" fillId="0" borderId="0" xfId="0" applyNumberFormat="1" applyFont="1" applyAlignment="1" applyProtection="1">
      <alignment horizontal="center" vertical="center" readingOrder="1"/>
      <protection hidden="1"/>
    </xf>
    <xf numFmtId="166" fontId="47" fillId="0" borderId="0" xfId="0" applyNumberFormat="1" applyFont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left" vertical="center"/>
      <protection hidden="1"/>
    </xf>
    <xf numFmtId="0" fontId="47" fillId="0" borderId="0" xfId="0" applyFont="1" applyAlignment="1" applyProtection="1">
      <alignment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right" vertical="center" readingOrder="1"/>
      <protection hidden="1"/>
    </xf>
    <xf numFmtId="0" fontId="21" fillId="2" borderId="0" xfId="0" applyFont="1" applyFill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Alignment="1" applyProtection="1">
      <alignment horizontal="left" vertical="center" indent="1" readingOrder="1"/>
      <protection hidden="1"/>
    </xf>
    <xf numFmtId="0" fontId="20" fillId="4" borderId="0" xfId="0" applyFont="1" applyFill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Alignment="1" applyProtection="1">
      <alignment vertical="center"/>
      <protection hidden="1"/>
    </xf>
    <xf numFmtId="0" fontId="48" fillId="2" borderId="0" xfId="0" applyFont="1" applyFill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23" fillId="0" borderId="1" xfId="0" applyFont="1" applyBorder="1" applyAlignment="1" applyProtection="1">
      <alignment horizontal="center" shrinkToFit="1" readingOrder="1"/>
      <protection hidden="1"/>
    </xf>
    <xf numFmtId="0" fontId="23" fillId="0" borderId="1" xfId="0" applyFont="1" applyBorder="1" applyAlignment="1" applyProtection="1">
      <alignment horizontal="right" shrinkToFit="1" readingOrder="1"/>
      <protection hidden="1"/>
    </xf>
    <xf numFmtId="0" fontId="24" fillId="0" borderId="1" xfId="0" applyFont="1" applyBorder="1" applyAlignment="1" applyProtection="1">
      <alignment horizontal="center" wrapText="1" shrinkToFit="1" readingOrder="1"/>
      <protection hidden="1"/>
    </xf>
    <xf numFmtId="0" fontId="23" fillId="0" borderId="1" xfId="0" applyFont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44" fontId="4" fillId="4" borderId="0" xfId="2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44" fontId="4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Border="1" applyAlignment="1" applyProtection="1">
      <alignment horizontal="left" vertical="center" shrinkToFit="1" readingOrder="1"/>
      <protection hidden="1"/>
    </xf>
    <xf numFmtId="44" fontId="38" fillId="0" borderId="6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Alignment="1" applyProtection="1">
      <alignment horizontal="left" vertical="center" shrinkToFit="1" readingOrder="1"/>
      <protection hidden="1"/>
    </xf>
    <xf numFmtId="44" fontId="38" fillId="0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Alignment="1" applyProtection="1">
      <alignment horizontal="center" vertical="center" shrinkToFit="1"/>
      <protection hidden="1"/>
    </xf>
    <xf numFmtId="0" fontId="22" fillId="0" borderId="0" xfId="0" applyFont="1" applyAlignment="1" applyProtection="1">
      <alignment shrinkToFit="1" readingOrder="1"/>
      <protection hidden="1"/>
    </xf>
    <xf numFmtId="0" fontId="22" fillId="0" borderId="0" xfId="0" applyFont="1" applyAlignment="1" applyProtection="1">
      <alignment horizontal="left" shrinkToFit="1" readingOrder="1"/>
      <protection hidden="1"/>
    </xf>
    <xf numFmtId="0" fontId="9" fillId="0" borderId="0" xfId="0" applyFont="1" applyAlignment="1" applyProtection="1">
      <alignment horizontal="center" shrinkToFit="1"/>
      <protection hidden="1"/>
    </xf>
    <xf numFmtId="168" fontId="34" fillId="0" borderId="0" xfId="0" applyNumberFormat="1" applyFont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2" fillId="0" borderId="0" xfId="0" applyFont="1" applyAlignment="1" applyProtection="1">
      <alignment horizontal="center" vertical="center" shrinkToFit="1" readingOrder="1"/>
      <protection hidden="1"/>
    </xf>
    <xf numFmtId="44" fontId="12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Alignment="1" applyProtection="1">
      <alignment horizontal="left" vertical="center" shrinkToFit="1" readingOrder="1"/>
      <protection hidden="1"/>
    </xf>
    <xf numFmtId="168" fontId="34" fillId="0" borderId="0" xfId="0" applyNumberFormat="1" applyFont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Alignment="1" applyProtection="1">
      <alignment shrinkToFit="1" readingOrder="1"/>
      <protection hidden="1"/>
    </xf>
    <xf numFmtId="0" fontId="23" fillId="0" borderId="1" xfId="0" applyFont="1" applyBorder="1" applyAlignment="1" applyProtection="1">
      <alignment shrinkToFit="1" readingOrder="1"/>
      <protection hidden="1"/>
    </xf>
    <xf numFmtId="0" fontId="46" fillId="0" borderId="1" xfId="0" applyFont="1" applyBorder="1" applyAlignment="1" applyProtection="1">
      <alignment horizontal="center" wrapText="1" shrinkToFit="1" readingOrder="1"/>
      <protection hidden="1"/>
    </xf>
    <xf numFmtId="0" fontId="6" fillId="4" borderId="6" xfId="0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4" fillId="0" borderId="1" xfId="0" applyFont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Alignment="1" applyProtection="1">
      <alignment horizontal="left" vertical="center" shrinkToFit="1"/>
      <protection hidden="1"/>
    </xf>
    <xf numFmtId="0" fontId="6" fillId="4" borderId="0" xfId="0" applyFont="1" applyFill="1" applyAlignment="1" applyProtection="1">
      <alignment vertical="center" shrinkToFit="1"/>
      <protection hidden="1"/>
    </xf>
    <xf numFmtId="6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Alignment="1" applyProtection="1">
      <alignment horizontal="center" vertical="center" shrinkToFit="1" readingOrder="1"/>
      <protection locked="0" hidden="1"/>
    </xf>
    <xf numFmtId="0" fontId="6" fillId="0" borderId="0" xfId="0" applyFont="1" applyAlignment="1" applyProtection="1">
      <alignment horizontal="left" vertical="center" shrinkToFit="1"/>
      <protection hidden="1"/>
    </xf>
    <xf numFmtId="6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Alignment="1" applyProtection="1">
      <alignment horizontal="center" vertical="center" shrinkToFit="1"/>
      <protection hidden="1"/>
    </xf>
    <xf numFmtId="0" fontId="16" fillId="0" borderId="0" xfId="0" applyFont="1" applyAlignment="1" applyProtection="1">
      <alignment horizontal="left" vertical="center" shrinkToFit="1" readingOrder="1"/>
      <protection hidden="1"/>
    </xf>
    <xf numFmtId="44" fontId="1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17" fillId="0" borderId="0" xfId="0" applyFont="1" applyAlignment="1" applyProtection="1">
      <alignment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center" vertical="center" shrinkToFit="1"/>
      <protection hidden="1"/>
    </xf>
    <xf numFmtId="0" fontId="6" fillId="4" borderId="0" xfId="0" applyFont="1" applyFill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6" fillId="0" borderId="0" xfId="0" applyFont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Alignment="1" applyProtection="1">
      <alignment shrinkToFit="1"/>
      <protection hidden="1"/>
    </xf>
    <xf numFmtId="0" fontId="29" fillId="0" borderId="0" xfId="0" applyFont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Alignment="1" applyProtection="1">
      <alignment horizontal="right" vertical="center" shrinkToFit="1" readingOrder="1"/>
      <protection hidden="1"/>
    </xf>
    <xf numFmtId="0" fontId="13" fillId="4" borderId="0" xfId="0" applyFont="1" applyFill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Alignment="1" applyProtection="1">
      <alignment vertical="center" shrinkToFit="1"/>
      <protection hidden="1"/>
    </xf>
    <xf numFmtId="0" fontId="47" fillId="0" borderId="0" xfId="0" applyFont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Alignment="1" applyProtection="1">
      <alignment horizontal="right" vertical="center" shrinkToFit="1" readingOrder="1"/>
      <protection hidden="1"/>
    </xf>
    <xf numFmtId="0" fontId="47" fillId="0" borderId="0" xfId="0" applyFont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Alignment="1" applyProtection="1">
      <alignment horizontal="right" vertical="center" shrinkToFit="1" readingOrder="1"/>
      <protection hidden="1"/>
    </xf>
    <xf numFmtId="44" fontId="47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/>
      <protection hidden="1"/>
    </xf>
    <xf numFmtId="0" fontId="47" fillId="0" borderId="0" xfId="0" applyFont="1" applyAlignment="1" applyProtection="1">
      <alignment shrinkToFit="1"/>
      <protection hidden="1"/>
    </xf>
    <xf numFmtId="0" fontId="47" fillId="0" borderId="0" xfId="0" applyFont="1" applyAlignment="1" applyProtection="1">
      <alignment horizontal="right" vertical="center" shrinkToFit="1"/>
      <protection hidden="1"/>
    </xf>
    <xf numFmtId="0" fontId="22" fillId="0" borderId="0" xfId="0" applyFont="1" applyAlignment="1" applyProtection="1">
      <alignment vertical="center" readingOrder="1"/>
      <protection hidden="1"/>
    </xf>
    <xf numFmtId="0" fontId="6" fillId="0" borderId="6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Alignment="1" applyProtection="1">
      <alignment horizontal="left" indent="1" readingOrder="1"/>
      <protection hidden="1"/>
    </xf>
    <xf numFmtId="0" fontId="17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37" fillId="0" borderId="6" xfId="0" applyFont="1" applyBorder="1" applyAlignment="1" applyProtection="1">
      <alignment horizontal="left" vertical="center" indent="1" readingOrder="1"/>
      <protection hidden="1"/>
    </xf>
    <xf numFmtId="0" fontId="37" fillId="0" borderId="0" xfId="0" applyFont="1" applyAlignment="1" applyProtection="1">
      <alignment horizontal="left" vertical="center" indent="1" readingOrder="1"/>
      <protection hidden="1"/>
    </xf>
    <xf numFmtId="0" fontId="12" fillId="0" borderId="0" xfId="0" applyFont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Alignment="1" applyProtection="1">
      <alignment horizontal="left" vertical="center" indent="1" readingOrder="1"/>
      <protection hidden="1"/>
    </xf>
    <xf numFmtId="0" fontId="14" fillId="0" borderId="0" xfId="0" applyFont="1" applyAlignment="1" applyProtection="1">
      <alignment horizontal="left" vertical="center" indent="1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/>
    <xf numFmtId="169" fontId="0" fillId="2" borderId="0" xfId="2" applyNumberFormat="1" applyFont="1" applyFill="1" applyBorder="1" applyProtection="1"/>
    <xf numFmtId="0" fontId="49" fillId="2" borderId="0" xfId="0" applyFont="1" applyFill="1"/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49" fillId="2" borderId="6" xfId="0" applyFont="1" applyFill="1" applyBorder="1"/>
    <xf numFmtId="0" fontId="0" fillId="2" borderId="0" xfId="0" applyFill="1" applyAlignment="1">
      <alignment horizontal="right"/>
    </xf>
    <xf numFmtId="0" fontId="45" fillId="0" borderId="6" xfId="0" applyFont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Alignment="1" applyProtection="1">
      <alignment horizontal="left" vertical="center" indent="1" readingOrder="1"/>
      <protection hidden="1"/>
    </xf>
    <xf numFmtId="169" fontId="6" fillId="0" borderId="0" xfId="0" applyNumberFormat="1" applyFont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vertical="center" indent="2" shrinkToFit="1"/>
      <protection hidden="1"/>
    </xf>
    <xf numFmtId="0" fontId="6" fillId="0" borderId="0" xfId="0" applyFont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0" fillId="4" borderId="0" xfId="0" applyFont="1" applyFill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9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9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>
      <alignment horizontal="right"/>
    </xf>
    <xf numFmtId="181" fontId="49" fillId="2" borderId="6" xfId="0" applyNumberFormat="1" applyFont="1" applyFill="1" applyBorder="1" applyAlignment="1">
      <alignment horizontal="right"/>
    </xf>
    <xf numFmtId="181" fontId="0" fillId="2" borderId="0" xfId="0" applyNumberFormat="1" applyFill="1" applyAlignment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Protection="1">
      <protection hidden="1"/>
    </xf>
    <xf numFmtId="0" fontId="41" fillId="4" borderId="0" xfId="3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Border="1" applyAlignment="1" applyProtection="1">
      <alignment readingOrder="1"/>
      <protection hidden="1"/>
    </xf>
    <xf numFmtId="0" fontId="4" fillId="4" borderId="0" xfId="0" applyFont="1" applyFill="1" applyAlignment="1" applyProtection="1">
      <alignment vertical="center" readingOrder="1"/>
      <protection hidden="1"/>
    </xf>
    <xf numFmtId="0" fontId="4" fillId="0" borderId="0" xfId="0" applyFont="1" applyAlignment="1" applyProtection="1">
      <alignment vertical="center" readingOrder="1"/>
      <protection hidden="1"/>
    </xf>
    <xf numFmtId="0" fontId="38" fillId="0" borderId="6" xfId="0" applyFont="1" applyBorder="1" applyAlignment="1" applyProtection="1">
      <alignment vertical="center" readingOrder="1"/>
      <protection hidden="1"/>
    </xf>
    <xf numFmtId="0" fontId="38" fillId="0" borderId="0" xfId="0" applyFont="1" applyAlignment="1" applyProtection="1">
      <alignment vertical="center" readingOrder="1"/>
      <protection hidden="1"/>
    </xf>
    <xf numFmtId="0" fontId="12" fillId="0" borderId="0" xfId="0" applyFont="1" applyAlignment="1" applyProtection="1">
      <alignment vertical="center" readingOrder="1"/>
      <protection hidden="1"/>
    </xf>
    <xf numFmtId="0" fontId="14" fillId="0" borderId="0" xfId="0" applyFont="1" applyAlignment="1" applyProtection="1">
      <alignment vertical="center" readingOrder="1"/>
      <protection hidden="1"/>
    </xf>
    <xf numFmtId="8" fontId="16" fillId="0" borderId="0" xfId="0" applyNumberFormat="1" applyFont="1" applyAlignment="1" applyProtection="1">
      <alignment vertical="center" readingOrder="1"/>
      <protection hidden="1"/>
    </xf>
    <xf numFmtId="0" fontId="45" fillId="0" borderId="6" xfId="0" applyFont="1" applyBorder="1" applyAlignment="1" applyProtection="1">
      <alignment vertical="center" readingOrder="1"/>
      <protection hidden="1"/>
    </xf>
    <xf numFmtId="0" fontId="16" fillId="0" borderId="0" xfId="0" applyFont="1" applyAlignment="1" applyProtection="1">
      <alignment vertical="center" readingOrder="1"/>
      <protection hidden="1"/>
    </xf>
    <xf numFmtId="0" fontId="16" fillId="0" borderId="1" xfId="0" applyFont="1" applyBorder="1" applyAlignment="1" applyProtection="1">
      <alignment vertical="center" readingOrder="1"/>
      <protection hidden="1"/>
    </xf>
    <xf numFmtId="0" fontId="16" fillId="4" borderId="0" xfId="0" applyFont="1" applyFill="1" applyAlignment="1" applyProtection="1">
      <alignment vertical="center" readingOrder="1"/>
      <protection hidden="1"/>
    </xf>
    <xf numFmtId="0" fontId="38" fillId="4" borderId="0" xfId="0" applyFont="1" applyFill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31" fillId="0" borderId="0" xfId="0" applyFont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Font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Border="1" applyAlignment="1" applyProtection="1">
      <alignment horizontal="center" vertical="center" readingOrder="1"/>
      <protection hidden="1"/>
    </xf>
    <xf numFmtId="0" fontId="37" fillId="0" borderId="6" xfId="0" applyFont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47" fillId="0" borderId="0" xfId="0" applyFont="1" applyAlignment="1" applyProtection="1">
      <alignment horizontal="right" vertical="center" indent="1" shrinkToFit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Alignment="1" applyProtection="1">
      <alignment horizontal="left" vertical="center" indent="1" readingOrder="1"/>
      <protection hidden="1"/>
    </xf>
    <xf numFmtId="0" fontId="57" fillId="7" borderId="0" xfId="0" applyFont="1" applyFill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Alignment="1" applyProtection="1">
      <alignment horizontal="left" vertical="center" indent="1" readingOrder="1"/>
      <protection hidden="1"/>
    </xf>
    <xf numFmtId="0" fontId="57" fillId="8" borderId="0" xfId="0" applyFont="1" applyFill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Alignment="1" applyProtection="1">
      <alignment horizontal="left" vertical="center" readingOrder="1"/>
      <protection hidden="1"/>
    </xf>
    <xf numFmtId="169" fontId="12" fillId="0" borderId="0" xfId="0" applyNumberFormat="1" applyFont="1" applyAlignment="1" applyProtection="1">
      <alignment horizontal="center" vertical="center" readingOrder="1"/>
      <protection hidden="1"/>
    </xf>
    <xf numFmtId="169" fontId="23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center" indent="1"/>
      <protection hidden="1"/>
    </xf>
    <xf numFmtId="0" fontId="16" fillId="0" borderId="0" xfId="0" applyFont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/>
      <protection hidden="1"/>
    </xf>
    <xf numFmtId="0" fontId="6" fillId="0" borderId="0" xfId="0" applyFont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Alignment="1" applyProtection="1">
      <alignment horizontal="left" vertical="top" indent="1" readingOrder="1"/>
      <protection hidden="1"/>
    </xf>
    <xf numFmtId="0" fontId="22" fillId="2" borderId="0" xfId="0" applyFont="1" applyFill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6" fillId="4" borderId="22" xfId="0" applyFont="1" applyFill="1" applyBorder="1" applyAlignment="1" applyProtection="1">
      <alignment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38" fillId="4" borderId="6" xfId="0" applyFont="1" applyFill="1" applyBorder="1" applyAlignment="1" applyProtection="1">
      <alignment horizontal="left" readingOrder="1"/>
      <protection hidden="1"/>
    </xf>
    <xf numFmtId="0" fontId="38" fillId="4" borderId="0" xfId="0" applyFont="1" applyFill="1" applyAlignment="1" applyProtection="1">
      <alignment horizontal="left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37" fillId="4" borderId="0" xfId="0" applyFont="1" applyFill="1" applyAlignment="1" applyProtection="1">
      <alignment horizontal="left" indent="1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0" fontId="4" fillId="0" borderId="7" xfId="0" applyFont="1" applyBorder="1" applyAlignment="1" applyProtection="1">
      <alignment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0" fontId="7" fillId="0" borderId="7" xfId="0" applyFont="1" applyBorder="1" applyAlignment="1" applyProtection="1">
      <alignment vertical="center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0" fontId="9" fillId="0" borderId="7" xfId="0" applyFont="1" applyBorder="1" applyProtection="1">
      <protection hidden="1"/>
    </xf>
    <xf numFmtId="6" fontId="6" fillId="0" borderId="0" xfId="0" applyNumberFormat="1" applyFont="1" applyProtection="1">
      <protection hidden="1"/>
    </xf>
    <xf numFmtId="6" fontId="9" fillId="0" borderId="0" xfId="0" applyNumberFormat="1" applyFont="1" applyProtection="1">
      <protection hidden="1"/>
    </xf>
    <xf numFmtId="0" fontId="9" fillId="0" borderId="7" xfId="0" applyFont="1" applyBorder="1" applyAlignment="1" applyProtection="1">
      <alignment horizontal="right" vertical="center"/>
      <protection hidden="1"/>
    </xf>
    <xf numFmtId="0" fontId="23" fillId="0" borderId="1" xfId="0" applyFont="1" applyBorder="1" applyAlignment="1" applyProtection="1">
      <alignment horizontal="center"/>
      <protection hidden="1"/>
    </xf>
    <xf numFmtId="0" fontId="24" fillId="0" borderId="1" xfId="0" applyFont="1" applyBorder="1" applyAlignment="1" applyProtection="1">
      <alignment horizontal="center" wrapText="1" readingOrder="1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locked="0" hidden="1"/>
    </xf>
    <xf numFmtId="0" fontId="6" fillId="0" borderId="7" xfId="0" applyFont="1" applyBorder="1" applyAlignment="1" applyProtection="1">
      <alignment vertical="center"/>
      <protection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37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right" vertical="center" readingOrder="1"/>
      <protection hidden="1"/>
    </xf>
    <xf numFmtId="0" fontId="38" fillId="0" borderId="0" xfId="0" applyFont="1" applyAlignment="1" applyProtection="1">
      <alignment horizontal="center" vertical="center" readingOrder="1"/>
      <protection hidden="1"/>
    </xf>
    <xf numFmtId="44" fontId="38" fillId="0" borderId="0" xfId="2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6" fontId="37" fillId="0" borderId="0" xfId="0" applyNumberFormat="1" applyFont="1" applyAlignment="1" applyProtection="1">
      <alignment horizontal="right" vertical="center" readingOrder="1"/>
      <protection hidden="1"/>
    </xf>
    <xf numFmtId="44" fontId="12" fillId="0" borderId="0" xfId="2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9" fillId="0" borderId="7" xfId="0" applyFont="1" applyBorder="1" applyAlignment="1" applyProtection="1">
      <alignment vertical="top"/>
      <protection hidden="1"/>
    </xf>
    <xf numFmtId="0" fontId="25" fillId="0" borderId="1" xfId="0" applyFont="1" applyBorder="1" applyProtection="1">
      <protection hidden="1"/>
    </xf>
    <xf numFmtId="0" fontId="25" fillId="0" borderId="0" xfId="0" applyFont="1" applyProtection="1"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168" fontId="34" fillId="0" borderId="0" xfId="0" applyNumberFormat="1" applyFont="1" applyAlignment="1" applyProtection="1">
      <alignment horizontal="left" readingOrder="1"/>
      <protection hidden="1"/>
    </xf>
    <xf numFmtId="0" fontId="9" fillId="0" borderId="7" xfId="0" applyFont="1" applyBorder="1" applyAlignment="1" applyProtection="1">
      <alignment horizontal="left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Protection="1">
      <protection hidden="1"/>
    </xf>
    <xf numFmtId="0" fontId="26" fillId="0" borderId="0" xfId="0" applyFont="1" applyProtection="1">
      <protection hidden="1"/>
    </xf>
    <xf numFmtId="0" fontId="26" fillId="0" borderId="7" xfId="0" applyFont="1" applyBorder="1" applyProtection="1">
      <protection hidden="1"/>
    </xf>
    <xf numFmtId="8" fontId="27" fillId="0" borderId="0" xfId="0" applyNumberFormat="1" applyFont="1" applyProtection="1">
      <protection hidden="1"/>
    </xf>
    <xf numFmtId="6" fontId="27" fillId="0" borderId="0" xfId="0" applyNumberFormat="1" applyFo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7" xfId="0" applyFont="1" applyBorder="1" applyAlignment="1" applyProtection="1">
      <alignment vertical="center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Protection="1">
      <protection hidden="1"/>
    </xf>
    <xf numFmtId="0" fontId="24" fillId="0" borderId="1" xfId="0" applyFont="1" applyBorder="1" applyAlignment="1" applyProtection="1">
      <alignment horizontal="center" vertical="center" readingOrder="1"/>
      <protection hidden="1"/>
    </xf>
    <xf numFmtId="0" fontId="26" fillId="0" borderId="7" xfId="0" applyFont="1" applyBorder="1" applyAlignment="1" applyProtection="1">
      <alignment vertical="center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6" fontId="6" fillId="4" borderId="0" xfId="0" applyNumberFormat="1" applyFont="1" applyFill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Alignment="1" applyProtection="1">
      <alignment horizontal="center" vertical="center" readingOrder="1"/>
      <protection locked="0" hidden="1"/>
    </xf>
    <xf numFmtId="0" fontId="6" fillId="0" borderId="0" xfId="0" applyFont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7" xfId="0" applyFont="1" applyBorder="1" applyAlignment="1" applyProtection="1">
      <alignment vertical="top" readingOrder="1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Alignment="1" applyProtection="1">
      <alignment horizontal="center" vertical="center" readingOrder="1"/>
      <protection hidden="1"/>
    </xf>
    <xf numFmtId="0" fontId="23" fillId="0" borderId="0" xfId="0" applyFont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44" fontId="16" fillId="0" borderId="0" xfId="2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0" fontId="27" fillId="0" borderId="7" xfId="0" applyFont="1" applyBorder="1" applyAlignment="1" applyProtection="1">
      <alignment vertical="center"/>
      <protection hidden="1"/>
    </xf>
    <xf numFmtId="8" fontId="6" fillId="4" borderId="0" xfId="0" applyNumberFormat="1" applyFont="1" applyFill="1" applyAlignment="1" applyProtection="1">
      <alignment vertical="center" readingOrder="1"/>
      <protection hidden="1"/>
    </xf>
    <xf numFmtId="8" fontId="6" fillId="0" borderId="0" xfId="0" applyNumberFormat="1" applyFont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40" fillId="0" borderId="7" xfId="0" applyFont="1" applyBorder="1" applyAlignment="1" applyProtection="1">
      <alignment vertical="center"/>
      <protection hidden="1"/>
    </xf>
    <xf numFmtId="0" fontId="9" fillId="0" borderId="1" xfId="0" applyFont="1" applyBorder="1" applyAlignment="1" applyProtection="1">
      <alignment vertical="center"/>
      <protection hidden="1"/>
    </xf>
    <xf numFmtId="0" fontId="17" fillId="0" borderId="7" xfId="0" applyFont="1" applyBorder="1" applyAlignment="1" applyProtection="1">
      <alignment horizontal="left"/>
      <protection hidden="1"/>
    </xf>
    <xf numFmtId="0" fontId="18" fillId="0" borderId="7" xfId="0" applyFont="1" applyBorder="1" applyAlignment="1" applyProtection="1">
      <alignment horizontal="left"/>
      <protection hidden="1"/>
    </xf>
    <xf numFmtId="164" fontId="6" fillId="4" borderId="0" xfId="0" applyNumberFormat="1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left" vertical="center" readingOrder="1"/>
      <protection hidden="1"/>
    </xf>
    <xf numFmtId="164" fontId="36" fillId="0" borderId="0" xfId="0" applyNumberFormat="1" applyFont="1" applyAlignment="1" applyProtection="1">
      <alignment horizontal="left" vertical="center" readingOrder="1"/>
      <protection hidden="1"/>
    </xf>
    <xf numFmtId="164" fontId="6" fillId="0" borderId="0" xfId="0" applyNumberFormat="1" applyFont="1" applyAlignment="1" applyProtection="1">
      <alignment horizontal="left" vertical="center" readingOrder="1"/>
      <protection hidden="1"/>
    </xf>
    <xf numFmtId="8" fontId="6" fillId="4" borderId="0" xfId="0" applyNumberFormat="1" applyFont="1" applyFill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166" fontId="6" fillId="0" borderId="6" xfId="0" applyNumberFormat="1" applyFont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Border="1" applyAlignment="1" applyProtection="1">
      <alignment horizontal="left" vertical="center" readingOrder="1"/>
      <protection hidden="1"/>
    </xf>
    <xf numFmtId="44" fontId="16" fillId="0" borderId="1" xfId="2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center" vertical="center" readingOrder="1"/>
      <protection hidden="1"/>
    </xf>
    <xf numFmtId="0" fontId="16" fillId="0" borderId="1" xfId="0" applyFont="1" applyBorder="1" applyAlignment="1" applyProtection="1">
      <alignment horizontal="center" vertical="center"/>
      <protection hidden="1"/>
    </xf>
    <xf numFmtId="6" fontId="16" fillId="0" borderId="1" xfId="0" applyNumberFormat="1" applyFont="1" applyBorder="1" applyAlignment="1" applyProtection="1">
      <alignment horizontal="right" vertical="center" readingOrder="1"/>
      <protection hidden="1"/>
    </xf>
    <xf numFmtId="0" fontId="6" fillId="0" borderId="8" xfId="0" applyFont="1" applyBorder="1" applyProtection="1">
      <protection hidden="1"/>
    </xf>
    <xf numFmtId="44" fontId="16" fillId="4" borderId="0" xfId="2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Alignment="1" applyProtection="1">
      <alignment horizontal="center" vertical="center" readingOrder="1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6" fontId="16" fillId="4" borderId="0" xfId="0" applyNumberFormat="1" applyFont="1" applyFill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Protection="1">
      <protection hidden="1"/>
    </xf>
    <xf numFmtId="0" fontId="29" fillId="0" borderId="0" xfId="0" applyFont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0" fontId="28" fillId="4" borderId="0" xfId="0" applyFont="1" applyFill="1" applyAlignment="1" applyProtection="1">
      <alignment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28" fillId="0" borderId="7" xfId="0" applyFont="1" applyBorder="1" applyAlignment="1" applyProtection="1">
      <alignment vertical="center"/>
      <protection hidden="1"/>
    </xf>
    <xf numFmtId="0" fontId="28" fillId="0" borderId="0" xfId="0" applyFont="1" applyAlignment="1" applyProtection="1">
      <alignment vertical="center"/>
      <protection hidden="1"/>
    </xf>
    <xf numFmtId="0" fontId="48" fillId="4" borderId="0" xfId="0" applyFont="1" applyFill="1" applyProtection="1">
      <protection hidden="1"/>
    </xf>
    <xf numFmtId="44" fontId="38" fillId="4" borderId="0" xfId="2" applyFont="1" applyFill="1" applyBorder="1" applyAlignment="1" applyProtection="1">
      <alignment horizontal="left" readingOrder="1"/>
      <protection hidden="1"/>
    </xf>
    <xf numFmtId="165" fontId="38" fillId="4" borderId="0" xfId="2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7" xfId="0" applyFont="1" applyBorder="1" applyProtection="1">
      <protection hidden="1"/>
    </xf>
    <xf numFmtId="0" fontId="48" fillId="0" borderId="0" xfId="0" applyFont="1" applyProtection="1">
      <protection hidden="1"/>
    </xf>
    <xf numFmtId="44" fontId="38" fillId="4" borderId="0" xfId="2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left" vertical="center" readingOrder="1"/>
      <protection hidden="1"/>
    </xf>
    <xf numFmtId="6" fontId="47" fillId="0" borderId="0" xfId="0" applyNumberFormat="1" applyFont="1" applyAlignment="1" applyProtection="1">
      <alignment horizontal="right" vertical="center" readingOrder="1"/>
      <protection hidden="1"/>
    </xf>
    <xf numFmtId="44" fontId="47" fillId="0" borderId="0" xfId="2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center" vertical="center" readingOrder="1"/>
      <protection hidden="1"/>
    </xf>
    <xf numFmtId="0" fontId="47" fillId="0" borderId="0" xfId="0" applyFont="1" applyProtection="1">
      <protection hidden="1"/>
    </xf>
    <xf numFmtId="0" fontId="47" fillId="0" borderId="0" xfId="0" applyFont="1" applyAlignment="1" applyProtection="1">
      <alignment horizontal="right"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16" fontId="20" fillId="4" borderId="0" xfId="0" applyNumberFormat="1" applyFont="1" applyFill="1" applyAlignment="1" applyProtection="1">
      <alignment horizontal="left" vertical="center" indent="1" readingOrder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0" fontId="55" fillId="0" borderId="7" xfId="0" applyFont="1" applyBorder="1" applyAlignment="1" applyProtection="1">
      <alignment horizontal="left" vertical="center" indent="5"/>
      <protection hidden="1"/>
    </xf>
    <xf numFmtId="0" fontId="64" fillId="0" borderId="7" xfId="0" applyFont="1" applyBorder="1" applyAlignment="1" applyProtection="1">
      <alignment horizontal="left" vertical="center" indent="5"/>
      <protection hidden="1"/>
    </xf>
    <xf numFmtId="6" fontId="6" fillId="4" borderId="0" xfId="0" applyNumberFormat="1" applyFont="1" applyFill="1" applyAlignment="1" applyProtection="1">
      <alignment horizontal="right" vertical="center" indent="1" readingOrder="1"/>
      <protection hidden="1"/>
    </xf>
    <xf numFmtId="6" fontId="6" fillId="0" borderId="0" xfId="0" applyNumberFormat="1" applyFont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Alignment="1" applyProtection="1">
      <alignment horizontal="right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Alignment="1" applyProtection="1">
      <alignment horizontal="right" vertical="center" indent="1"/>
      <protection hidden="1"/>
    </xf>
    <xf numFmtId="6" fontId="16" fillId="0" borderId="0" xfId="0" applyNumberFormat="1" applyFont="1" applyAlignment="1" applyProtection="1">
      <alignment horizontal="right" vertical="center" indent="1" readingOrder="1"/>
      <protection hidden="1"/>
    </xf>
    <xf numFmtId="0" fontId="16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Alignment="1" applyProtection="1">
      <alignment horizontal="right" vertical="center" indent="1"/>
      <protection hidden="1"/>
    </xf>
    <xf numFmtId="6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6" fontId="59" fillId="0" borderId="0" xfId="0" applyNumberFormat="1" applyFont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8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Alignment="1" applyProtection="1">
      <alignment horizontal="right" inden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6" fontId="47" fillId="0" borderId="0" xfId="0" applyNumberFormat="1" applyFont="1" applyAlignment="1" applyProtection="1">
      <alignment horizontal="right" vertical="center" indent="1" readingOrder="1"/>
      <protection hidden="1"/>
    </xf>
    <xf numFmtId="0" fontId="47" fillId="0" borderId="0" xfId="0" applyFont="1" applyAlignment="1" applyProtection="1">
      <alignment horizontal="right" vertical="center" indent="1"/>
      <protection hidden="1"/>
    </xf>
    <xf numFmtId="0" fontId="55" fillId="0" borderId="7" xfId="0" applyFont="1" applyBorder="1" applyAlignment="1" applyProtection="1">
      <alignment horizontal="left" vertical="center" indent="5" readingOrder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69" fillId="0" borderId="6" xfId="0" applyFont="1" applyBorder="1" applyAlignment="1" applyProtection="1">
      <alignment horizontal="left" vertical="center" indent="1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0" fontId="59" fillId="0" borderId="7" xfId="0" applyFont="1" applyBorder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Font="1" applyBorder="1" applyAlignment="1" applyProtection="1">
      <alignment horizontal="center" vertical="center" readingOrder="1"/>
      <protection hidden="1"/>
    </xf>
    <xf numFmtId="0" fontId="69" fillId="0" borderId="0" xfId="0" applyFont="1" applyAlignment="1" applyProtection="1">
      <alignment horizontal="center" vertical="center" readingOrder="1"/>
      <protection hidden="1"/>
    </xf>
    <xf numFmtId="164" fontId="19" fillId="4" borderId="24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Alignment="1" applyProtection="1">
      <alignment horizontal="center" vertical="top" readingOrder="1"/>
      <protection hidden="1"/>
    </xf>
    <xf numFmtId="0" fontId="6" fillId="0" borderId="7" xfId="0" applyFont="1" applyBorder="1" applyAlignment="1" applyProtection="1">
      <alignment vertical="top"/>
      <protection hidden="1"/>
    </xf>
    <xf numFmtId="6" fontId="16" fillId="0" borderId="0" xfId="0" applyNumberFormat="1" applyFont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82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70" fontId="69" fillId="0" borderId="6" xfId="0" applyNumberFormat="1" applyFont="1" applyBorder="1" applyAlignment="1" applyProtection="1">
      <alignment horizontal="right" vertical="center" readingOrder="1"/>
      <protection hidden="1"/>
    </xf>
    <xf numFmtId="169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82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6" fillId="0" borderId="0" xfId="0" applyNumberFormat="1" applyFont="1" applyAlignment="1" applyProtection="1">
      <alignment horizontal="right" vertical="center" indent="1" readingOrder="1"/>
      <protection hidden="1"/>
    </xf>
    <xf numFmtId="169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Alignment="1" applyProtection="1">
      <alignment vertical="center" readingOrder="1"/>
      <protection hidden="1"/>
    </xf>
    <xf numFmtId="169" fontId="6" fillId="0" borderId="0" xfId="0" applyNumberFormat="1" applyFont="1" applyAlignment="1" applyProtection="1">
      <alignment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59" fillId="0" borderId="0" xfId="0" applyNumberFormat="1" applyFont="1" applyAlignment="1" applyProtection="1">
      <alignment horizontal="right" vertical="center" indent="1" readingOrder="1"/>
      <protection hidden="1"/>
    </xf>
    <xf numFmtId="169" fontId="6" fillId="4" borderId="23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64" fontId="6" fillId="4" borderId="0" xfId="0" applyNumberFormat="1" applyFont="1" applyFill="1" applyAlignment="1" applyProtection="1">
      <alignment horizontal="center" vertical="center" readingOrder="1"/>
      <protection hidden="1"/>
    </xf>
    <xf numFmtId="164" fontId="6" fillId="0" borderId="0" xfId="0" applyNumberFormat="1" applyFont="1" applyAlignment="1" applyProtection="1">
      <alignment horizontal="center" vertical="center" readingOrder="1"/>
      <protection hidden="1"/>
    </xf>
    <xf numFmtId="169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hidden="1"/>
    </xf>
    <xf numFmtId="0" fontId="53" fillId="0" borderId="0" xfId="0" applyFont="1"/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55" fillId="0" borderId="7" xfId="0" applyFont="1" applyBorder="1" applyAlignment="1">
      <alignment horizontal="left" vertical="center" indent="5"/>
    </xf>
    <xf numFmtId="0" fontId="17" fillId="0" borderId="7" xfId="0" applyFont="1" applyBorder="1" applyAlignment="1">
      <alignment horizontal="left" vertical="center"/>
    </xf>
    <xf numFmtId="0" fontId="69" fillId="0" borderId="6" xfId="0" applyFont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41" fillId="4" borderId="0" xfId="3" applyFill="1" applyAlignment="1" applyProtection="1">
      <alignment horizontal="left" vertical="top" indent="1"/>
      <protection hidden="1"/>
    </xf>
    <xf numFmtId="169" fontId="6" fillId="4" borderId="0" xfId="0" applyNumberFormat="1" applyFont="1" applyFill="1" applyAlignment="1" applyProtection="1">
      <alignment horizontal="center" vertical="center" readingOrder="1"/>
      <protection hidden="1"/>
    </xf>
    <xf numFmtId="169" fontId="6" fillId="0" borderId="0" xfId="0" applyNumberFormat="1" applyFont="1" applyAlignment="1" applyProtection="1">
      <alignment horizontal="center" vertical="center" readingOrder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3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9" fillId="0" borderId="0" xfId="3" applyFont="1" applyAlignment="1" applyProtection="1">
      <alignment horizontal="left" vertical="top" indent="1"/>
      <protection locked="0" hidden="1"/>
    </xf>
    <xf numFmtId="0" fontId="9" fillId="0" borderId="0" xfId="3" applyFont="1" applyAlignment="1" applyProtection="1">
      <alignment horizontal="left" vertical="top" indent="1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12" fillId="0" borderId="0" xfId="3" applyFont="1" applyAlignment="1" applyProtection="1">
      <alignment horizontal="left" vertical="top" indent="1"/>
      <protection locked="0"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17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Border="1" applyAlignment="1" applyProtection="1">
      <alignment horizontal="right" vertical="center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75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readingOrder="1"/>
      <protection hidden="1"/>
    </xf>
    <xf numFmtId="169" fontId="6" fillId="4" borderId="0" xfId="0" applyNumberFormat="1" applyFont="1" applyFill="1" applyAlignment="1" applyProtection="1">
      <alignment horizontal="right" vertical="center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4" borderId="0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  <xf numFmtId="0" fontId="55" fillId="0" borderId="0" xfId="0" applyFont="1" applyBorder="1" applyAlignment="1">
      <alignment horizontal="left" vertical="center" indent="2"/>
    </xf>
    <xf numFmtId="0" fontId="55" fillId="0" borderId="0" xfId="0" applyFont="1" applyBorder="1" applyAlignment="1" applyProtection="1">
      <alignment horizontal="left" vertical="center" indent="2"/>
      <protection hidden="1"/>
    </xf>
    <xf numFmtId="0" fontId="64" fillId="0" borderId="0" xfId="0" applyFont="1" applyBorder="1" applyAlignment="1" applyProtection="1">
      <alignment horizontal="left" vertical="center" indent="2"/>
      <protection hidden="1"/>
    </xf>
    <xf numFmtId="0" fontId="55" fillId="0" borderId="0" xfId="0" applyFont="1" applyBorder="1" applyAlignment="1" applyProtection="1">
      <alignment horizontal="left" vertical="center" indent="2" readingOrder="1"/>
      <protection hidden="1"/>
    </xf>
    <xf numFmtId="0" fontId="47" fillId="0" borderId="0" xfId="0" applyFont="1" applyBorder="1" applyAlignment="1" applyProtection="1">
      <alignment horizontal="left" vertical="center" indent="1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131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Radio" firstButton="1" fmlaLink="$J$13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firstButton="1" fmlaLink="$J$131" noThreeD="1"/>
</file>

<file path=xl/ctrlProps/ctrlProp5.xml><?xml version="1.0" encoding="utf-8"?>
<formControlPr xmlns="http://schemas.microsoft.com/office/spreadsheetml/2009/9/main" objectType="Radio" checked="Checked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firstButton="1" fmlaLink="$J$131" noThreeD="1"/>
</file>

<file path=xl/ctrlProps/ctrlProp8.xml><?xml version="1.0" encoding="utf-8"?>
<formControlPr xmlns="http://schemas.microsoft.com/office/spreadsheetml/2009/9/main" objectType="Radio" checked="Checked" lockText="1" noThreeD="1"/>
</file>

<file path=xl/ctrlProps/ctrlProp9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Prisf&#246;rslag" TargetMode="External"/><Relationship Id="rId4" Type="http://schemas.openxmlformats.org/officeDocument/2006/relationships/hyperlink" Target="#'NOK - Safespring tjenester 2022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Quote" TargetMode="External"/><Relationship Id="rId4" Type="http://schemas.openxmlformats.org/officeDocument/2006/relationships/hyperlink" Target="#'NOK - Safespring tjenester 2022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Tilbud" TargetMode="External"/><Relationship Id="rId4" Type="http://schemas.openxmlformats.org/officeDocument/2006/relationships/hyperlink" Target="#'EUR - Safespring services 2022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7" name="Rektangel med rundade hörn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8" name="Rektangel med rundade hörn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1025" name="Option Button 1" descr="Standard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469900</xdr:colOff>
      <xdr:row>126</xdr:row>
      <xdr:rowOff>165100</xdr:rowOff>
    </xdr:from>
    <xdr:to>
      <xdr:col>7</xdr:col>
      <xdr:colOff>38100</xdr:colOff>
      <xdr:row>128</xdr:row>
      <xdr:rowOff>25400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112000" y="319151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6145" name="Option Button 1" descr="Standard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6146" name="Option Button 2" descr="None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6147" name="Option Button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609600</xdr:colOff>
      <xdr:row>126</xdr:row>
      <xdr:rowOff>177800</xdr:rowOff>
    </xdr:from>
    <xdr:to>
      <xdr:col>7</xdr:col>
      <xdr:colOff>177800</xdr:colOff>
      <xdr:row>128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7169" name="Option Button 1" descr="Standard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3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7170" name="Option Button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3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7171" name="Option Button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3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914400</xdr:colOff>
      <xdr:row>126</xdr:row>
      <xdr:rowOff>139700</xdr:rowOff>
    </xdr:from>
    <xdr:to>
      <xdr:col>7</xdr:col>
      <xdr:colOff>482600</xdr:colOff>
      <xdr:row>128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1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4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7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Relationship Id="rId9" Type="http://schemas.openxmlformats.org/officeDocument/2006/relationships/ctrlProp" Target="../ctrlProps/ctrlProp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30"/>
  <sheetViews>
    <sheetView showGridLines="0" tabSelected="1" zoomScaleNormal="100" zoomScaleSheetLayoutView="100" workbookViewId="0">
      <selection activeCell="B24" sqref="B24:E24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65" customWidth="1"/>
    <col min="12" max="12" width="14.83203125" style="1" customWidth="1"/>
    <col min="13" max="13" width="14.83203125" style="852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59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59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59"/>
      <c r="L3" s="669"/>
      <c r="M3" s="670"/>
    </row>
    <row r="4" spans="1:26" ht="25" customHeight="1">
      <c r="A4" s="2"/>
      <c r="B4" s="982"/>
      <c r="C4" s="982"/>
      <c r="D4" s="2"/>
      <c r="E4" s="2"/>
      <c r="F4" s="2"/>
      <c r="G4" s="2"/>
      <c r="H4" s="2"/>
      <c r="I4" s="2"/>
      <c r="J4" s="2"/>
      <c r="K4" s="859"/>
      <c r="L4" s="669"/>
      <c r="M4" s="670"/>
    </row>
    <row r="5" spans="1:26" ht="25" customHeight="1">
      <c r="A5" s="2"/>
      <c r="B5" s="633" t="s">
        <v>671</v>
      </c>
      <c r="C5" s="65"/>
      <c r="D5" s="2"/>
      <c r="E5" s="2"/>
      <c r="F5" s="2"/>
      <c r="G5" s="2"/>
      <c r="H5" s="2"/>
      <c r="I5" s="2"/>
      <c r="J5" s="2"/>
      <c r="K5" s="859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59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59"/>
      <c r="L7" s="669"/>
      <c r="M7" s="670"/>
    </row>
    <row r="8" spans="1:26" ht="25" customHeight="1">
      <c r="A8" s="2"/>
      <c r="B8" s="422" t="s">
        <v>200</v>
      </c>
      <c r="C8" s="61"/>
      <c r="D8" s="68" t="s">
        <v>201</v>
      </c>
      <c r="E8" s="2"/>
      <c r="F8" s="2"/>
      <c r="G8" s="2"/>
      <c r="H8" s="2"/>
      <c r="I8" s="2"/>
      <c r="J8" s="2"/>
      <c r="K8" s="859"/>
      <c r="L8" s="669"/>
      <c r="M8" s="670"/>
    </row>
    <row r="9" spans="1:26" ht="25" customHeight="1">
      <c r="A9" s="2"/>
      <c r="B9" s="418" t="s">
        <v>202</v>
      </c>
      <c r="C9" s="61"/>
      <c r="D9" s="2"/>
      <c r="E9" s="2"/>
      <c r="F9" s="2"/>
      <c r="G9" s="2"/>
      <c r="H9" s="2"/>
      <c r="I9" s="2"/>
      <c r="J9" s="2"/>
      <c r="K9" s="859"/>
      <c r="L9" s="669"/>
      <c r="M9" s="670"/>
    </row>
    <row r="10" spans="1:26" ht="25" customHeight="1">
      <c r="A10" s="2"/>
      <c r="B10" s="964" t="s">
        <v>3</v>
      </c>
      <c r="C10" s="402"/>
      <c r="D10" s="2"/>
      <c r="E10" s="2"/>
      <c r="F10" s="2"/>
      <c r="G10" s="2"/>
      <c r="H10" s="2"/>
      <c r="I10" s="2"/>
      <c r="J10" s="2"/>
      <c r="K10" s="859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60"/>
      <c r="L11" s="673"/>
      <c r="M11" s="670"/>
    </row>
    <row r="12" spans="1:26" s="4" customFormat="1" ht="25" customHeight="1">
      <c r="A12" s="63"/>
      <c r="B12" s="637"/>
      <c r="C12" s="64"/>
      <c r="D12" s="63"/>
      <c r="E12" s="63"/>
      <c r="F12" s="63"/>
      <c r="G12" s="675"/>
      <c r="H12" s="675"/>
      <c r="I12" s="676"/>
      <c r="J12" s="63"/>
      <c r="K12" s="861"/>
      <c r="L12" s="677"/>
      <c r="M12" s="670"/>
    </row>
    <row r="13" spans="1:26" s="4" customFormat="1" ht="25" customHeight="1">
      <c r="B13" s="638"/>
      <c r="G13" s="678"/>
      <c r="H13" s="678"/>
      <c r="I13" s="679"/>
      <c r="K13" s="862"/>
      <c r="L13" s="680"/>
      <c r="M13" s="670"/>
    </row>
    <row r="14" spans="1:26" s="4" customFormat="1" ht="25" customHeight="1">
      <c r="B14" s="638"/>
      <c r="G14" s="678"/>
      <c r="H14" s="678"/>
      <c r="I14" s="679"/>
      <c r="K14" s="862"/>
      <c r="L14" s="680"/>
      <c r="M14" s="670"/>
    </row>
    <row r="15" spans="1:26" s="4" customFormat="1" ht="25" customHeight="1">
      <c r="B15" s="967" t="s">
        <v>659</v>
      </c>
      <c r="C15" s="967"/>
      <c r="D15" s="967"/>
      <c r="E15" s="967"/>
      <c r="F15" s="967"/>
      <c r="G15" s="967"/>
      <c r="H15" s="679"/>
      <c r="J15" s="681"/>
      <c r="K15" s="862"/>
      <c r="L15" s="680"/>
      <c r="M15" s="670"/>
      <c r="S15" s="682"/>
      <c r="X15" s="682"/>
      <c r="Y15" s="682"/>
      <c r="Z15" s="682"/>
    </row>
    <row r="16" spans="1:26" s="4" customFormat="1" ht="25" customHeight="1">
      <c r="B16" s="967"/>
      <c r="C16" s="967"/>
      <c r="D16" s="967"/>
      <c r="E16" s="967"/>
      <c r="F16" s="967"/>
      <c r="G16" s="967"/>
      <c r="H16" s="679"/>
      <c r="J16" s="681"/>
      <c r="K16" s="862"/>
      <c r="L16" s="680"/>
      <c r="M16" s="670"/>
      <c r="S16" s="682"/>
      <c r="X16" s="682"/>
      <c r="Y16" s="682"/>
      <c r="Z16" s="682"/>
    </row>
    <row r="17" spans="2:26" s="4" customFormat="1" ht="25" customHeight="1">
      <c r="B17" s="967"/>
      <c r="C17" s="967"/>
      <c r="D17" s="967"/>
      <c r="E17" s="967"/>
      <c r="F17" s="967"/>
      <c r="G17" s="967"/>
      <c r="H17" s="679"/>
      <c r="J17" s="681"/>
      <c r="K17" s="862"/>
      <c r="L17" s="680"/>
      <c r="M17" s="670"/>
      <c r="S17" s="682"/>
      <c r="X17" s="682"/>
      <c r="Y17" s="682"/>
      <c r="Z17" s="682"/>
    </row>
    <row r="18" spans="2:26" s="4" customFormat="1" ht="25" customHeight="1">
      <c r="B18" s="551" t="s">
        <v>407</v>
      </c>
      <c r="C18" s="683"/>
      <c r="D18" s="683"/>
      <c r="E18" s="683"/>
      <c r="F18" s="683"/>
      <c r="H18" s="679"/>
      <c r="J18" s="681"/>
      <c r="K18" s="862"/>
      <c r="L18" s="680"/>
      <c r="M18" s="670"/>
      <c r="S18" s="682"/>
      <c r="T18" s="682"/>
      <c r="U18" s="682"/>
      <c r="V18" s="682"/>
      <c r="W18" s="682"/>
      <c r="X18" s="682"/>
      <c r="Y18" s="682"/>
      <c r="Z18" s="682"/>
    </row>
    <row r="19" spans="2:26" s="4" customFormat="1" ht="25" customHeight="1">
      <c r="B19" s="983" t="s">
        <v>408</v>
      </c>
      <c r="C19" s="983"/>
      <c r="D19" s="983"/>
      <c r="E19" s="983"/>
      <c r="F19" s="983"/>
      <c r="G19" s="684"/>
      <c r="H19" s="685"/>
      <c r="J19" s="686"/>
      <c r="K19" s="863"/>
      <c r="L19" s="687"/>
      <c r="M19" s="670"/>
      <c r="S19" s="682"/>
      <c r="T19" s="682"/>
      <c r="U19" s="682"/>
      <c r="V19" s="682"/>
      <c r="W19" s="682"/>
      <c r="X19" s="682"/>
      <c r="Y19" s="682"/>
      <c r="Z19" s="682"/>
    </row>
    <row r="20" spans="2:26" s="4" customFormat="1" ht="25" customHeight="1">
      <c r="B20" s="554" t="s">
        <v>409</v>
      </c>
      <c r="C20" s="74"/>
      <c r="D20" s="74"/>
      <c r="E20" s="74"/>
      <c r="F20" s="133"/>
      <c r="G20" s="684"/>
      <c r="H20" s="685"/>
      <c r="I20" s="684"/>
      <c r="J20" s="686"/>
      <c r="K20" s="863"/>
      <c r="L20" s="687"/>
      <c r="M20" s="670"/>
      <c r="S20" s="682"/>
      <c r="T20" s="682"/>
      <c r="U20" s="682"/>
      <c r="V20" s="682"/>
      <c r="W20" s="689"/>
      <c r="X20" s="8"/>
      <c r="Y20" s="682"/>
      <c r="Z20" s="682"/>
    </row>
    <row r="21" spans="2:26" s="4" customFormat="1" ht="25" customHeight="1">
      <c r="B21" s="465"/>
      <c r="C21" s="133"/>
      <c r="D21" s="133"/>
      <c r="E21" s="133"/>
      <c r="F21" s="133"/>
      <c r="G21" s="684"/>
      <c r="H21" s="685"/>
      <c r="I21" s="684"/>
      <c r="J21" s="686"/>
      <c r="K21" s="863"/>
      <c r="L21" s="687"/>
      <c r="M21" s="670"/>
      <c r="P21" s="1"/>
      <c r="Q21" s="1"/>
      <c r="R21" s="1"/>
      <c r="S21" s="682"/>
      <c r="T21" s="682"/>
      <c r="U21" s="682"/>
      <c r="V21" s="682"/>
      <c r="W21" s="682"/>
      <c r="X21" s="682"/>
      <c r="Y21" s="689"/>
      <c r="Z21" s="682"/>
    </row>
    <row r="22" spans="2:26" s="4" customFormat="1" ht="25" customHeight="1">
      <c r="B22" s="465"/>
      <c r="C22" s="133"/>
      <c r="D22" s="133"/>
      <c r="E22" s="133"/>
      <c r="F22" s="133"/>
      <c r="G22" s="684"/>
      <c r="H22" s="685"/>
      <c r="I22" s="684"/>
      <c r="J22" s="686"/>
      <c r="K22" s="863"/>
      <c r="L22" s="687"/>
      <c r="M22" s="670"/>
      <c r="P22" s="1"/>
      <c r="Q22" s="1"/>
      <c r="R22" s="1"/>
      <c r="S22" s="682"/>
      <c r="T22" s="682"/>
      <c r="U22" s="682"/>
      <c r="V22" s="682"/>
      <c r="W22" s="682"/>
      <c r="X22" s="682"/>
      <c r="Y22" s="689"/>
      <c r="Z22" s="682"/>
    </row>
    <row r="23" spans="2:26" s="691" customFormat="1" ht="25" customHeight="1">
      <c r="B23" s="651" t="s">
        <v>539</v>
      </c>
      <c r="C23" s="107"/>
      <c r="D23" s="107"/>
      <c r="E23" s="107"/>
      <c r="F23" s="107"/>
      <c r="G23" s="107"/>
      <c r="H23" s="21"/>
      <c r="I23" s="690"/>
      <c r="J23" s="690"/>
      <c r="K23" s="864"/>
      <c r="M23" s="670"/>
      <c r="P23" s="693"/>
      <c r="Q23" s="693"/>
      <c r="R23" s="694"/>
    </row>
    <row r="24" spans="2:26" ht="25" customHeight="1">
      <c r="B24" s="984" t="s">
        <v>652</v>
      </c>
      <c r="C24" s="984"/>
      <c r="D24" s="984"/>
      <c r="E24" s="984"/>
      <c r="M24" s="670"/>
    </row>
    <row r="25" spans="2:26" s="653" customFormat="1" ht="25" customHeight="1">
      <c r="B25" s="444" t="s">
        <v>208</v>
      </c>
      <c r="C25" s="11" t="s">
        <v>10</v>
      </c>
      <c r="D25" s="11" t="s">
        <v>11</v>
      </c>
      <c r="E25" s="131" t="s">
        <v>448</v>
      </c>
      <c r="F25" s="131" t="s">
        <v>210</v>
      </c>
      <c r="G25" s="131" t="s">
        <v>437</v>
      </c>
      <c r="H25" s="696"/>
      <c r="I25" s="697" t="s">
        <v>212</v>
      </c>
      <c r="J25" s="696"/>
      <c r="K25" s="866" t="s">
        <v>215</v>
      </c>
      <c r="M25" s="670"/>
      <c r="N25" s="1"/>
      <c r="O25" s="1"/>
      <c r="P25" s="689"/>
      <c r="Q25" s="689"/>
      <c r="R25" s="698"/>
    </row>
    <row r="26" spans="2:26" s="682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699">
        <f t="shared" ref="F26:F37" si="0">G26/720</f>
        <v>0.66666666666666663</v>
      </c>
      <c r="G26" s="700">
        <f t="shared" ref="G26:G37" si="1">C26*IAAS_vcpu_SEK+D26*IAAS_ram_SEK+E26*IAAS_nvme_SEK</f>
        <v>480</v>
      </c>
      <c r="H26" s="44"/>
      <c r="I26" s="701"/>
      <c r="J26" s="44"/>
      <c r="K26" s="867">
        <f t="shared" ref="K26:K37" si="2">ROUNDUP(I26*G26,2)</f>
        <v>0</v>
      </c>
      <c r="M26" s="670"/>
      <c r="P26" s="689"/>
      <c r="R26" s="689"/>
    </row>
    <row r="27" spans="2:26" s="682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703">
        <f t="shared" si="0"/>
        <v>1.2222222222222223</v>
      </c>
      <c r="G27" s="704">
        <f t="shared" si="1"/>
        <v>880</v>
      </c>
      <c r="H27" s="46"/>
      <c r="I27" s="701"/>
      <c r="J27" s="46"/>
      <c r="K27" s="868">
        <f t="shared" si="2"/>
        <v>0</v>
      </c>
      <c r="M27" s="670"/>
      <c r="P27" s="689"/>
      <c r="R27" s="689"/>
    </row>
    <row r="28" spans="2:26" s="682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699">
        <f t="shared" si="0"/>
        <v>1.9166666666666667</v>
      </c>
      <c r="G28" s="700">
        <f t="shared" si="1"/>
        <v>1380</v>
      </c>
      <c r="H28" s="44"/>
      <c r="I28" s="701"/>
      <c r="J28" s="44"/>
      <c r="K28" s="867">
        <f t="shared" si="2"/>
        <v>0</v>
      </c>
      <c r="M28" s="670"/>
      <c r="P28" s="689"/>
      <c r="R28" s="689"/>
    </row>
    <row r="29" spans="2:26" s="682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703">
        <f t="shared" si="0"/>
        <v>1.1944444444444444</v>
      </c>
      <c r="G29" s="704">
        <f t="shared" si="1"/>
        <v>860</v>
      </c>
      <c r="H29" s="46"/>
      <c r="I29" s="701"/>
      <c r="J29" s="46"/>
      <c r="K29" s="868">
        <f t="shared" si="2"/>
        <v>0</v>
      </c>
      <c r="M29" s="670"/>
      <c r="P29" s="689"/>
      <c r="R29" s="689"/>
    </row>
    <row r="30" spans="2:26" s="682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699">
        <f t="shared" si="0"/>
        <v>1.75</v>
      </c>
      <c r="G30" s="700">
        <f t="shared" si="1"/>
        <v>1260</v>
      </c>
      <c r="H30" s="44"/>
      <c r="I30" s="701"/>
      <c r="J30" s="44"/>
      <c r="K30" s="867">
        <f t="shared" si="2"/>
        <v>0</v>
      </c>
      <c r="M30" s="670"/>
      <c r="P30" s="689"/>
      <c r="R30" s="689"/>
    </row>
    <row r="31" spans="2:26" s="682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703">
        <f t="shared" si="0"/>
        <v>2.4444444444444446</v>
      </c>
      <c r="G31" s="704">
        <f t="shared" si="1"/>
        <v>1760</v>
      </c>
      <c r="H31" s="46"/>
      <c r="I31" s="701"/>
      <c r="J31" s="46"/>
      <c r="K31" s="868">
        <f t="shared" si="2"/>
        <v>0</v>
      </c>
      <c r="M31" s="670"/>
      <c r="P31" s="689"/>
      <c r="R31" s="689"/>
    </row>
    <row r="32" spans="2:26" s="682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699">
        <f t="shared" si="0"/>
        <v>2.25</v>
      </c>
      <c r="G32" s="700">
        <f t="shared" si="1"/>
        <v>1620</v>
      </c>
      <c r="H32" s="44"/>
      <c r="I32" s="701"/>
      <c r="J32" s="44"/>
      <c r="K32" s="867">
        <f t="shared" si="2"/>
        <v>0</v>
      </c>
      <c r="M32" s="670"/>
      <c r="P32" s="689"/>
      <c r="R32" s="689"/>
    </row>
    <row r="33" spans="2:19" s="682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703">
        <f t="shared" si="0"/>
        <v>2.8055555555555554</v>
      </c>
      <c r="G33" s="704">
        <f t="shared" si="1"/>
        <v>2020</v>
      </c>
      <c r="H33" s="46"/>
      <c r="I33" s="701"/>
      <c r="J33" s="46"/>
      <c r="K33" s="868">
        <f t="shared" si="2"/>
        <v>0</v>
      </c>
      <c r="M33" s="670"/>
      <c r="P33" s="689"/>
      <c r="R33" s="689"/>
    </row>
    <row r="34" spans="2:19" s="682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699">
        <f t="shared" si="0"/>
        <v>3.5</v>
      </c>
      <c r="G34" s="700">
        <f t="shared" si="1"/>
        <v>2520</v>
      </c>
      <c r="H34" s="44"/>
      <c r="I34" s="701"/>
      <c r="J34" s="44"/>
      <c r="K34" s="867">
        <f t="shared" si="2"/>
        <v>0</v>
      </c>
      <c r="M34" s="670"/>
      <c r="P34" s="689"/>
      <c r="R34" s="689"/>
    </row>
    <row r="35" spans="2:19" s="682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703">
        <f t="shared" si="0"/>
        <v>4.3611111111111107</v>
      </c>
      <c r="G35" s="704">
        <f t="shared" si="1"/>
        <v>3140</v>
      </c>
      <c r="H35" s="46"/>
      <c r="I35" s="701"/>
      <c r="J35" s="46"/>
      <c r="K35" s="868">
        <f t="shared" si="2"/>
        <v>0</v>
      </c>
      <c r="M35" s="670"/>
      <c r="P35" s="689"/>
      <c r="R35" s="689"/>
    </row>
    <row r="36" spans="2:19" s="682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699">
        <f t="shared" si="0"/>
        <v>4.916666666666667</v>
      </c>
      <c r="G36" s="700">
        <f t="shared" si="1"/>
        <v>3540</v>
      </c>
      <c r="H36" s="44"/>
      <c r="I36" s="701"/>
      <c r="J36" s="44"/>
      <c r="K36" s="867">
        <f t="shared" si="2"/>
        <v>0</v>
      </c>
      <c r="M36" s="670"/>
      <c r="P36" s="689"/>
      <c r="R36" s="689"/>
    </row>
    <row r="37" spans="2:19" s="682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703">
        <f t="shared" si="0"/>
        <v>5.6111111111111107</v>
      </c>
      <c r="G37" s="704">
        <f t="shared" si="1"/>
        <v>4040</v>
      </c>
      <c r="H37" s="46"/>
      <c r="I37" s="701"/>
      <c r="J37" s="46"/>
      <c r="K37" s="868">
        <f t="shared" si="2"/>
        <v>0</v>
      </c>
      <c r="M37" s="670"/>
      <c r="P37" s="689"/>
      <c r="R37" s="689"/>
    </row>
    <row r="38" spans="2:19" s="903" customFormat="1" ht="25" customHeight="1">
      <c r="B38" s="899" t="s">
        <v>222</v>
      </c>
      <c r="C38" s="900" t="str" cm="1">
        <f t="array" ref="C38">SUM(C26:C37*I26:I37)&amp;" st"</f>
        <v>0 st</v>
      </c>
      <c r="D38" s="900" t="str" cm="1">
        <f t="array" ref="D38">SUM(D26:D37*I26:I37)&amp;" GB"</f>
        <v>0 GB</v>
      </c>
      <c r="E38" s="901" t="str" cm="1">
        <f t="array" ref="E38">SUM(E26:E37*I26:I37)&amp;" GB"</f>
        <v>0 GB</v>
      </c>
      <c r="F38" s="900"/>
      <c r="G38" s="900"/>
      <c r="H38" s="900"/>
      <c r="I38" s="900" t="str">
        <f>SUM(I26:I37)&amp;" st"</f>
        <v>0 st</v>
      </c>
      <c r="J38" s="900"/>
      <c r="K38" s="902">
        <f>SUM(K26:K37)</f>
        <v>0</v>
      </c>
      <c r="M38" s="670"/>
      <c r="P38" s="905"/>
      <c r="R38" s="905"/>
    </row>
    <row r="39" spans="2:19" s="682" customFormat="1" ht="25" customHeight="1">
      <c r="B39" s="448"/>
      <c r="C39" s="705"/>
      <c r="D39" s="705"/>
      <c r="E39" s="706"/>
      <c r="F39" s="707"/>
      <c r="G39" s="708"/>
      <c r="H39" s="709"/>
      <c r="I39" s="710"/>
      <c r="J39" s="711"/>
      <c r="K39" s="869"/>
      <c r="M39" s="670"/>
      <c r="P39" s="689"/>
      <c r="R39" s="689"/>
    </row>
    <row r="40" spans="2:19" s="682" customFormat="1" ht="25" customHeight="1">
      <c r="B40" s="448"/>
      <c r="C40" s="705"/>
      <c r="D40" s="705"/>
      <c r="E40" s="706"/>
      <c r="F40" s="707"/>
      <c r="G40" s="708"/>
      <c r="H40" s="709"/>
      <c r="I40" s="710"/>
      <c r="J40" s="711"/>
      <c r="K40" s="869"/>
      <c r="M40" s="670"/>
      <c r="P40" s="689"/>
      <c r="R40" s="689"/>
    </row>
    <row r="41" spans="2:19" ht="25" customHeight="1">
      <c r="B41" s="449"/>
      <c r="C41" s="17"/>
      <c r="D41" s="17"/>
      <c r="E41" s="17"/>
      <c r="F41" s="17"/>
      <c r="G41" s="713"/>
      <c r="H41" s="714"/>
      <c r="I41" s="714"/>
      <c r="J41" s="17"/>
      <c r="K41" s="870"/>
      <c r="M41" s="670"/>
      <c r="P41" s="689"/>
      <c r="Q41" s="689"/>
      <c r="R41" s="698"/>
    </row>
    <row r="42" spans="2:19" s="653" customFormat="1" ht="25" customHeight="1">
      <c r="B42" s="654" t="s">
        <v>449</v>
      </c>
      <c r="C42" s="652"/>
      <c r="D42" s="652"/>
      <c r="K42" s="871"/>
      <c r="M42" s="670"/>
    </row>
    <row r="43" spans="2:19" ht="25" customHeight="1">
      <c r="B43" s="984" t="s">
        <v>652</v>
      </c>
      <c r="C43" s="984"/>
      <c r="D43" s="984"/>
      <c r="E43" s="984"/>
      <c r="M43" s="670"/>
    </row>
    <row r="44" spans="2:19" s="718" customFormat="1" ht="25" customHeight="1">
      <c r="B44" s="444" t="s">
        <v>208</v>
      </c>
      <c r="C44" s="11" t="s">
        <v>10</v>
      </c>
      <c r="D44" s="11" t="s">
        <v>11</v>
      </c>
      <c r="E44" s="132" t="s">
        <v>448</v>
      </c>
      <c r="F44" s="12" t="s">
        <v>210</v>
      </c>
      <c r="G44" s="131" t="s">
        <v>437</v>
      </c>
      <c r="H44" s="717"/>
      <c r="I44" s="697" t="s">
        <v>212</v>
      </c>
      <c r="J44" s="696"/>
      <c r="K44" s="866" t="s">
        <v>215</v>
      </c>
      <c r="M44" s="670"/>
      <c r="O44" s="13"/>
      <c r="P44" s="719"/>
      <c r="Q44" s="719"/>
      <c r="R44" s="719"/>
      <c r="S44" s="13"/>
    </row>
    <row r="45" spans="2:19" s="682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699">
        <f t="shared" ref="F45:F54" si="3">G45/720</f>
        <v>0.2638888888888889</v>
      </c>
      <c r="G45" s="700">
        <f t="shared" ref="G45:G54" si="4">C45*IAAS_vcpu_SEK+D45*IAAS_ram_SEK+E45*IAAS_ssd_SEK</f>
        <v>190</v>
      </c>
      <c r="H45" s="44"/>
      <c r="I45" s="701"/>
      <c r="J45" s="44"/>
      <c r="K45" s="867">
        <f t="shared" ref="K45:K54" si="5">ROUNDUP(I45*G45,2)</f>
        <v>0</v>
      </c>
      <c r="M45" s="670"/>
      <c r="N45" s="720"/>
      <c r="O45" s="721"/>
    </row>
    <row r="46" spans="2:19" s="682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703">
        <f t="shared" si="3"/>
        <v>0.41666666666666669</v>
      </c>
      <c r="G46" s="704">
        <f t="shared" si="4"/>
        <v>300</v>
      </c>
      <c r="H46" s="46"/>
      <c r="I46" s="701"/>
      <c r="J46" s="46"/>
      <c r="K46" s="868">
        <f t="shared" si="5"/>
        <v>0</v>
      </c>
      <c r="L46" s="722"/>
      <c r="M46" s="670"/>
      <c r="N46" s="720"/>
      <c r="O46" s="721"/>
    </row>
    <row r="47" spans="2:19" s="682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699">
        <f t="shared" si="3"/>
        <v>0.52777777777777779</v>
      </c>
      <c r="G47" s="700">
        <f t="shared" si="4"/>
        <v>380</v>
      </c>
      <c r="H47" s="44"/>
      <c r="I47" s="701"/>
      <c r="J47" s="44"/>
      <c r="K47" s="867">
        <f t="shared" si="5"/>
        <v>0</v>
      </c>
      <c r="L47" s="722"/>
      <c r="M47" s="670"/>
      <c r="N47" s="720"/>
      <c r="O47" s="721"/>
    </row>
    <row r="48" spans="2:19" s="682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703">
        <f t="shared" si="3"/>
        <v>0.83333333333333337</v>
      </c>
      <c r="G48" s="704">
        <f t="shared" si="4"/>
        <v>600</v>
      </c>
      <c r="H48" s="46"/>
      <c r="I48" s="701"/>
      <c r="J48" s="46"/>
      <c r="K48" s="868">
        <f t="shared" si="5"/>
        <v>0</v>
      </c>
      <c r="L48" s="722"/>
      <c r="M48" s="670"/>
      <c r="N48" s="720"/>
      <c r="O48" s="957"/>
    </row>
    <row r="49" spans="1:20" s="682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699">
        <f t="shared" si="3"/>
        <v>1.0555555555555556</v>
      </c>
      <c r="G49" s="700">
        <f t="shared" si="4"/>
        <v>760</v>
      </c>
      <c r="H49" s="44"/>
      <c r="I49" s="701"/>
      <c r="J49" s="44"/>
      <c r="K49" s="867">
        <f t="shared" si="5"/>
        <v>0</v>
      </c>
      <c r="L49" s="722"/>
      <c r="M49" s="670"/>
      <c r="N49" s="720"/>
    </row>
    <row r="50" spans="1:20" s="682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703">
        <f t="shared" si="3"/>
        <v>1.6666666666666667</v>
      </c>
      <c r="G50" s="704">
        <f t="shared" si="4"/>
        <v>1200</v>
      </c>
      <c r="H50" s="46"/>
      <c r="I50" s="701"/>
      <c r="J50" s="46"/>
      <c r="K50" s="868">
        <f t="shared" si="5"/>
        <v>0</v>
      </c>
      <c r="L50" s="722"/>
      <c r="M50" s="670"/>
    </row>
    <row r="51" spans="1:20" s="682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699">
        <f t="shared" si="3"/>
        <v>2.1111111111111112</v>
      </c>
      <c r="G51" s="700">
        <f t="shared" si="4"/>
        <v>1520</v>
      </c>
      <c r="H51" s="44"/>
      <c r="I51" s="701"/>
      <c r="J51" s="44"/>
      <c r="K51" s="867">
        <f t="shared" si="5"/>
        <v>0</v>
      </c>
      <c r="L51" s="722"/>
      <c r="M51" s="670"/>
    </row>
    <row r="52" spans="1:20" s="682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703">
        <f t="shared" si="3"/>
        <v>3.3333333333333335</v>
      </c>
      <c r="G52" s="704">
        <f t="shared" si="4"/>
        <v>2400</v>
      </c>
      <c r="H52" s="46"/>
      <c r="I52" s="701"/>
      <c r="J52" s="46"/>
      <c r="K52" s="868">
        <f t="shared" si="5"/>
        <v>0</v>
      </c>
      <c r="L52" s="722"/>
      <c r="M52" s="670"/>
    </row>
    <row r="53" spans="1:20" s="682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699">
        <f t="shared" si="3"/>
        <v>4.2222222222222223</v>
      </c>
      <c r="G53" s="700">
        <f t="shared" si="4"/>
        <v>3040</v>
      </c>
      <c r="H53" s="44"/>
      <c r="I53" s="701"/>
      <c r="J53" s="44"/>
      <c r="K53" s="867">
        <f t="shared" si="5"/>
        <v>0</v>
      </c>
      <c r="L53" s="722"/>
      <c r="M53" s="670"/>
      <c r="P53" s="689"/>
      <c r="Q53" s="689"/>
      <c r="R53" s="689"/>
    </row>
    <row r="54" spans="1:20" s="682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703">
        <f t="shared" si="3"/>
        <v>6.666666666666667</v>
      </c>
      <c r="G54" s="704">
        <f t="shared" si="4"/>
        <v>4800</v>
      </c>
      <c r="H54" s="46"/>
      <c r="I54" s="701"/>
      <c r="J54" s="46"/>
      <c r="K54" s="868">
        <f t="shared" si="5"/>
        <v>0</v>
      </c>
      <c r="L54" s="722"/>
      <c r="M54" s="670"/>
      <c r="P54" s="689"/>
      <c r="Q54" s="689"/>
      <c r="R54" s="689"/>
    </row>
    <row r="55" spans="1:20" s="903" customFormat="1" ht="25" customHeight="1">
      <c r="B55" s="899" t="s">
        <v>222</v>
      </c>
      <c r="C55" s="900" t="str" cm="1">
        <f t="array" ref="C55">SUM(b2_list_vCPU*b2_list_Antal_instanser)&amp;" st"</f>
        <v>0 st</v>
      </c>
      <c r="D55" s="900" t="str" cm="1">
        <f t="array" ref="D55">SUM(b2_list_ram*b2_list_vCPU)&amp;" GB"</f>
        <v>0 GB</v>
      </c>
      <c r="E55" s="906" t="s">
        <v>94</v>
      </c>
      <c r="F55" s="900"/>
      <c r="G55" s="900"/>
      <c r="H55" s="900"/>
      <c r="I55" s="900" t="str">
        <f>SUM(I45:I54)&amp;" st"</f>
        <v>0 st</v>
      </c>
      <c r="J55" s="900"/>
      <c r="K55" s="902">
        <f>SUM(K45:K54)</f>
        <v>0</v>
      </c>
      <c r="M55" s="670"/>
      <c r="P55" s="905"/>
      <c r="R55" s="905"/>
    </row>
    <row r="56" spans="1:20" ht="25" customHeight="1">
      <c r="A56" s="682"/>
      <c r="B56" s="448"/>
      <c r="C56" s="19"/>
      <c r="D56" s="19"/>
      <c r="E56" s="19"/>
      <c r="F56" s="19"/>
      <c r="G56" s="708"/>
      <c r="H56" s="709"/>
      <c r="I56" s="712"/>
      <c r="J56" s="711"/>
      <c r="K56" s="869"/>
      <c r="M56" s="670"/>
      <c r="P56" s="689"/>
      <c r="Q56" s="689"/>
      <c r="R56" s="698"/>
    </row>
    <row r="57" spans="1:20" s="723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72"/>
      <c r="L57" s="724"/>
      <c r="M57" s="670"/>
      <c r="R57" s="726"/>
      <c r="S57" s="726"/>
      <c r="T57" s="727"/>
    </row>
    <row r="58" spans="1:20" ht="25" hidden="1" customHeight="1">
      <c r="B58" s="985" t="s">
        <v>653</v>
      </c>
      <c r="C58" s="985"/>
      <c r="D58" s="985"/>
      <c r="E58" s="985"/>
      <c r="M58" s="670"/>
    </row>
    <row r="59" spans="1:20" s="728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7" t="s">
        <v>212</v>
      </c>
      <c r="J59" s="696"/>
      <c r="K59" s="866" t="s">
        <v>215</v>
      </c>
      <c r="L59" s="729"/>
      <c r="M59" s="670"/>
      <c r="Q59" s="731"/>
      <c r="R59" s="731"/>
      <c r="S59" s="732"/>
    </row>
    <row r="60" spans="1:20" s="682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33">
        <f t="shared" ref="G60:G61" si="6">H60/720</f>
        <v>9.6527777777777786</v>
      </c>
      <c r="H60" s="700">
        <f>C60*IAAS_vcpu_SEK+D60*IAAS_ram_SEK+E60*IAAS_nvme_SEK+F60*IAAS_gpu_SEK</f>
        <v>6950</v>
      </c>
      <c r="I60" s="956"/>
      <c r="J60" s="14"/>
      <c r="K60" s="867">
        <f>ROUNDUP(I60*H60,2)</f>
        <v>0</v>
      </c>
      <c r="M60" s="670"/>
      <c r="P60" s="689"/>
      <c r="R60" s="689"/>
    </row>
    <row r="61" spans="1:20" s="682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34">
        <f t="shared" si="6"/>
        <v>19.305555555555557</v>
      </c>
      <c r="H61" s="704">
        <f>C61*IAAS_vcpu_SEK+D61*IAAS_ram_SEK+E61*IAAS_nvme_SEK+F61*IAAS_gpu_SEK</f>
        <v>13900</v>
      </c>
      <c r="I61" s="956"/>
      <c r="J61" s="16"/>
      <c r="K61" s="868">
        <f>ROUNDUP(I61*H61,2)</f>
        <v>0</v>
      </c>
      <c r="M61" s="670"/>
      <c r="P61" s="689"/>
      <c r="R61" s="689"/>
    </row>
    <row r="62" spans="1:20" s="682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33">
        <f t="shared" ref="G62:G63" si="7">H62/720</f>
        <v>38.611111111111114</v>
      </c>
      <c r="H62" s="700">
        <f>C62*IAAS_vcpu_SEK+D62*IAAS_ram_SEK+E62*IAAS_nvme_SEK+F62*IAAS_gpu_SEK</f>
        <v>27800</v>
      </c>
      <c r="I62" s="956"/>
      <c r="J62" s="14"/>
      <c r="K62" s="867">
        <f>ROUNDUP(I62*H62,2)</f>
        <v>0</v>
      </c>
      <c r="M62" s="670"/>
      <c r="P62" s="689"/>
      <c r="R62" s="689"/>
    </row>
    <row r="63" spans="1:20" s="682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34">
        <f t="shared" si="7"/>
        <v>60.555555555555557</v>
      </c>
      <c r="H63" s="704">
        <f>C63*IAAS_vcpu_SEK+D63*IAAS_ram_SEK+E63*IAAS_nvme_SEK+F63*IAAS_gpu_SEK</f>
        <v>43600</v>
      </c>
      <c r="I63" s="956"/>
      <c r="J63" s="16"/>
      <c r="K63" s="868">
        <f>ROUNDUP(I63*H63,2)</f>
        <v>0</v>
      </c>
      <c r="M63" s="670"/>
      <c r="P63" s="689"/>
      <c r="R63" s="689"/>
    </row>
    <row r="64" spans="1:20" s="903" customFormat="1" ht="25" hidden="1" customHeight="1">
      <c r="B64" s="899" t="s">
        <v>222</v>
      </c>
      <c r="C64" s="900" t="str" cm="1">
        <f t="array" ref="C64">SUM(I60:I63*C60:C63)&amp;" st"</f>
        <v>0 st</v>
      </c>
      <c r="D64" s="900" t="str" cm="1">
        <f t="array" ref="D64">SUM(I60:I63*D60:D63)&amp;" GB"</f>
        <v>0 GB</v>
      </c>
      <c r="E64" s="901" t="str" cm="1">
        <f t="array" ref="E64">SUM(I60:I63*E60:E63)&amp;" GB"</f>
        <v>0 GB</v>
      </c>
      <c r="F64" s="901" t="str" cm="1">
        <f t="array" ref="F64">SUM(I60:I63*F60:F63)&amp;" st"</f>
        <v>0 st</v>
      </c>
      <c r="G64" s="900"/>
      <c r="H64" s="900"/>
      <c r="I64" s="900" t="str">
        <f>SUM(I60:I63)&amp;" st"</f>
        <v>0 st</v>
      </c>
      <c r="J64" s="900"/>
      <c r="K64" s="902">
        <f>SUM(K60:K63)</f>
        <v>0</v>
      </c>
      <c r="M64" s="670"/>
      <c r="P64" s="905"/>
      <c r="R64" s="905"/>
    </row>
    <row r="65" spans="2:20" s="682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73"/>
      <c r="M65" s="670"/>
      <c r="P65" s="689"/>
      <c r="R65" s="689"/>
    </row>
    <row r="66" spans="2:20" s="682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73"/>
      <c r="M66" s="670"/>
      <c r="P66" s="689"/>
      <c r="R66" s="689"/>
    </row>
    <row r="67" spans="2:20" s="691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73"/>
      <c r="M67" s="670"/>
      <c r="N67" s="8"/>
      <c r="O67" s="8"/>
      <c r="P67" s="693"/>
      <c r="Q67" s="8"/>
      <c r="R67" s="694"/>
    </row>
    <row r="68" spans="2:20" ht="25" hidden="1" customHeight="1">
      <c r="B68" s="985" t="s">
        <v>653</v>
      </c>
      <c r="C68" s="985"/>
      <c r="D68" s="985"/>
      <c r="E68" s="985"/>
      <c r="M68" s="670"/>
    </row>
    <row r="69" spans="2:20" s="728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6"/>
      <c r="I69" s="697" t="s">
        <v>366</v>
      </c>
      <c r="J69" s="696"/>
      <c r="K69" s="866" t="s">
        <v>215</v>
      </c>
      <c r="L69" s="729"/>
      <c r="M69" s="670"/>
      <c r="Q69" s="731"/>
      <c r="R69" s="731"/>
      <c r="S69" s="732"/>
    </row>
    <row r="70" spans="2:20" s="682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38">
        <f t="shared" ref="F70:F72" si="8">G70/720</f>
        <v>9.5</v>
      </c>
      <c r="G70" s="739">
        <f>INSTANCE_p1.2xlarge.16d_SEK</f>
        <v>6840</v>
      </c>
      <c r="H70" s="14"/>
      <c r="I70" s="956"/>
      <c r="J70" s="14"/>
      <c r="K70" s="867">
        <f>ROUNDUP(I70*G70,2)</f>
        <v>0</v>
      </c>
      <c r="L70" s="8"/>
      <c r="M70" s="670"/>
    </row>
    <row r="71" spans="2:20" s="682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40">
        <f t="shared" si="8"/>
        <v>19</v>
      </c>
      <c r="G71" s="96">
        <f>INSTANCE_p1.4xlarge.16d_SEK</f>
        <v>13680</v>
      </c>
      <c r="H71" s="16"/>
      <c r="I71" s="956"/>
      <c r="J71" s="16"/>
      <c r="K71" s="868">
        <f>ROUNDUP(I71*G71,2)</f>
        <v>0</v>
      </c>
      <c r="L71" s="8"/>
      <c r="M71" s="670"/>
      <c r="S71" s="689"/>
    </row>
    <row r="72" spans="2:20" s="736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41">
        <f t="shared" si="8"/>
        <v>38</v>
      </c>
      <c r="G72" s="739">
        <f>INSTANCE_p1.8xlarge.32d_SEK</f>
        <v>27360</v>
      </c>
      <c r="H72" s="14"/>
      <c r="I72" s="956"/>
      <c r="J72" s="14"/>
      <c r="K72" s="867">
        <f>ROUNDUP(I72*G72,2)</f>
        <v>0</v>
      </c>
      <c r="L72" s="742"/>
      <c r="M72" s="670"/>
    </row>
    <row r="73" spans="2:20" s="903" customFormat="1" ht="25" hidden="1" customHeight="1">
      <c r="B73" s="899" t="s">
        <v>222</v>
      </c>
      <c r="C73" s="900" t="str" cm="1">
        <f t="array" ref="C73">SUM(I70:I72*C70:C72)&amp;" st"</f>
        <v>0 st</v>
      </c>
      <c r="D73" s="900" t="str" cm="1">
        <f t="array" ref="D73">SUM(I70:I72*D70:D72)&amp;" GB"</f>
        <v>0 GB</v>
      </c>
      <c r="E73" s="901" t="str" cm="1">
        <f t="array" ref="E73">SUM(I70:I72*E70:E72)&amp;" GB"</f>
        <v>0 GB</v>
      </c>
      <c r="F73" s="900"/>
      <c r="G73" s="900"/>
      <c r="H73" s="900"/>
      <c r="I73" s="900" t="str">
        <f>SUM(I70:I72)&amp;" st"</f>
        <v>0 st</v>
      </c>
      <c r="J73" s="900"/>
      <c r="K73" s="902">
        <f>SUM(K70:K72)</f>
        <v>0</v>
      </c>
      <c r="M73" s="670"/>
      <c r="P73" s="905"/>
      <c r="R73" s="905"/>
    </row>
    <row r="74" spans="2:20" ht="25" customHeight="1">
      <c r="B74" s="452"/>
      <c r="C74" s="76"/>
      <c r="D74" s="76"/>
      <c r="E74" s="76"/>
      <c r="F74" s="76"/>
      <c r="G74" s="76"/>
      <c r="H74" s="736"/>
      <c r="I74" s="710"/>
      <c r="J74" s="710"/>
      <c r="K74" s="874"/>
      <c r="L74" s="712"/>
      <c r="M74" s="670"/>
    </row>
    <row r="75" spans="2:20" s="682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73"/>
      <c r="L75" s="737"/>
      <c r="M75" s="670"/>
      <c r="Q75" s="689"/>
      <c r="S75" s="689"/>
    </row>
    <row r="76" spans="2:20" ht="25" customHeight="1">
      <c r="B76" s="651" t="s">
        <v>452</v>
      </c>
      <c r="C76" s="22"/>
      <c r="D76" s="22"/>
      <c r="E76" s="22"/>
      <c r="F76" s="22"/>
      <c r="G76" s="22"/>
      <c r="H76" s="8"/>
      <c r="I76" s="8"/>
      <c r="J76" s="8"/>
      <c r="K76" s="873"/>
      <c r="L76" s="737"/>
      <c r="M76" s="670"/>
      <c r="N76" s="682"/>
      <c r="O76" s="682"/>
      <c r="P76" s="682"/>
      <c r="Q76" s="682"/>
      <c r="R76" s="689"/>
      <c r="S76" s="682"/>
      <c r="T76" s="698"/>
    </row>
    <row r="77" spans="2:20" ht="25" customHeight="1">
      <c r="B77" s="630" t="s">
        <v>547</v>
      </c>
      <c r="M77" s="670"/>
    </row>
    <row r="78" spans="2:20" s="745" customFormat="1" ht="25" customHeight="1">
      <c r="B78" s="444" t="s">
        <v>208</v>
      </c>
      <c r="C78" s="24" t="s">
        <v>220</v>
      </c>
      <c r="D78" s="24"/>
      <c r="E78" s="24"/>
      <c r="F78" s="132" t="s">
        <v>210</v>
      </c>
      <c r="G78" s="131" t="s">
        <v>437</v>
      </c>
      <c r="H78" s="24"/>
      <c r="I78" s="743" t="s">
        <v>66</v>
      </c>
      <c r="J78" s="24"/>
      <c r="K78" s="614" t="s">
        <v>534</v>
      </c>
      <c r="L78" s="719"/>
      <c r="M78" s="670"/>
      <c r="N78" s="719"/>
      <c r="R78" s="746"/>
      <c r="S78" s="746"/>
      <c r="T78" s="747"/>
    </row>
    <row r="79" spans="2:20" s="682" customFormat="1" ht="25" customHeight="1">
      <c r="B79" s="134" t="s">
        <v>491</v>
      </c>
      <c r="C79" s="39" t="s">
        <v>68</v>
      </c>
      <c r="D79" s="78"/>
      <c r="E79" s="78"/>
      <c r="F79" s="80">
        <f>G79/720</f>
        <v>1.6666666666666666E-3</v>
      </c>
      <c r="G79" s="738">
        <f>VOLUME_large_SEK</f>
        <v>1.2</v>
      </c>
      <c r="H79" s="748"/>
      <c r="I79" s="749"/>
      <c r="J79" s="399"/>
      <c r="K79" s="857">
        <f>ROUNDUP(I79*G79,2)</f>
        <v>0</v>
      </c>
      <c r="L79" s="8"/>
      <c r="M79" s="670"/>
    </row>
    <row r="80" spans="2:20" s="682" customFormat="1" ht="25" customHeight="1">
      <c r="B80" s="137" t="s">
        <v>492</v>
      </c>
      <c r="C80" s="41" t="s">
        <v>71</v>
      </c>
      <c r="D80" s="79"/>
      <c r="E80" s="79"/>
      <c r="F80" s="81">
        <f>G80/720</f>
        <v>5.0000000000000001E-3</v>
      </c>
      <c r="G80" s="740">
        <f>VOLUME_fast_SEK</f>
        <v>3.6</v>
      </c>
      <c r="H80" s="751"/>
      <c r="I80" s="753"/>
      <c r="J80" s="754"/>
      <c r="K80" s="858">
        <f>ROUNDUP(I80*G80,2)</f>
        <v>0</v>
      </c>
      <c r="L80" s="8"/>
      <c r="M80" s="670"/>
      <c r="T80" s="689"/>
    </row>
    <row r="81" spans="2:20" s="682" customFormat="1" ht="25" customHeight="1">
      <c r="B81" s="134" t="s">
        <v>493</v>
      </c>
      <c r="C81" s="39" t="s">
        <v>434</v>
      </c>
      <c r="D81" s="78"/>
      <c r="E81" s="78"/>
      <c r="F81" s="80">
        <f>G81/720</f>
        <v>1.6666666666666666E-3</v>
      </c>
      <c r="G81" s="738">
        <f>VOLUME_large_SEK</f>
        <v>1.2</v>
      </c>
      <c r="H81" s="755"/>
      <c r="I81" s="749"/>
      <c r="J81" s="399"/>
      <c r="K81" s="857">
        <f>ROUNDUP(I81*G81,2)</f>
        <v>0</v>
      </c>
      <c r="L81" s="8"/>
      <c r="M81" s="670"/>
    </row>
    <row r="82" spans="2:20" s="903" customFormat="1" ht="25" customHeight="1">
      <c r="B82" s="899" t="s">
        <v>222</v>
      </c>
      <c r="C82" s="900"/>
      <c r="D82" s="900"/>
      <c r="E82" s="900"/>
      <c r="F82" s="900"/>
      <c r="G82" s="900"/>
      <c r="H82" s="900"/>
      <c r="I82" s="900" t="str">
        <f>SUM(I79:I81)&amp;" GB"</f>
        <v>0 GB</v>
      </c>
      <c r="J82" s="900"/>
      <c r="K82" s="902">
        <f>SUM(K79:K81)</f>
        <v>0</v>
      </c>
      <c r="M82" s="670"/>
      <c r="P82" s="905"/>
      <c r="R82" s="905"/>
    </row>
    <row r="83" spans="2:20" ht="25" customHeight="1">
      <c r="B83" s="452"/>
      <c r="C83" s="76"/>
      <c r="D83" s="76"/>
      <c r="E83" s="76"/>
      <c r="F83" s="76"/>
      <c r="G83" s="76"/>
      <c r="H83" s="736"/>
      <c r="I83" s="756"/>
      <c r="J83" s="756"/>
      <c r="K83" s="875"/>
      <c r="L83" s="758"/>
      <c r="M83" s="670"/>
    </row>
    <row r="84" spans="2:20" s="4" customFormat="1" ht="25" customHeight="1">
      <c r="B84" s="452"/>
      <c r="C84" s="76"/>
      <c r="D84" s="76"/>
      <c r="E84" s="76"/>
      <c r="F84" s="76"/>
      <c r="G84" s="76"/>
      <c r="H84" s="756"/>
      <c r="I84" s="756"/>
      <c r="J84" s="756"/>
      <c r="K84" s="876"/>
      <c r="L84" s="757"/>
      <c r="M84" s="670"/>
    </row>
    <row r="85" spans="2:20" s="4" customFormat="1" ht="25" customHeight="1">
      <c r="B85" s="967" t="s">
        <v>660</v>
      </c>
      <c r="C85" s="967"/>
      <c r="D85" s="967"/>
      <c r="E85" s="967"/>
      <c r="F85" s="967"/>
      <c r="G85" s="967"/>
      <c r="H85" s="967"/>
      <c r="I85" s="967"/>
      <c r="J85" s="967"/>
      <c r="K85" s="967"/>
      <c r="M85" s="670"/>
    </row>
    <row r="86" spans="2:20" s="4" customFormat="1" ht="25" customHeight="1">
      <c r="B86" s="967"/>
      <c r="C86" s="967"/>
      <c r="D86" s="967"/>
      <c r="E86" s="967"/>
      <c r="F86" s="967"/>
      <c r="G86" s="967"/>
      <c r="H86" s="967"/>
      <c r="I86" s="967"/>
      <c r="J86" s="967"/>
      <c r="K86" s="967"/>
      <c r="M86" s="670"/>
    </row>
    <row r="87" spans="2:20" s="4" customFormat="1" ht="25" customHeight="1">
      <c r="B87" s="967"/>
      <c r="C87" s="967"/>
      <c r="D87" s="967"/>
      <c r="E87" s="967"/>
      <c r="F87" s="967"/>
      <c r="G87" s="967"/>
      <c r="H87" s="967"/>
      <c r="I87" s="967"/>
      <c r="J87" s="967"/>
      <c r="K87" s="967"/>
      <c r="M87" s="670"/>
    </row>
    <row r="88" spans="2:20" s="4" customFormat="1" ht="25" customHeight="1">
      <c r="B88" s="551" t="s">
        <v>548</v>
      </c>
      <c r="C88" s="551"/>
      <c r="D88" s="551"/>
      <c r="E88" s="551"/>
      <c r="F88" s="551"/>
      <c r="H88" s="679"/>
      <c r="J88" s="681"/>
      <c r="K88" s="862"/>
      <c r="M88" s="670"/>
    </row>
    <row r="89" spans="2:20" s="505" customFormat="1" ht="25" customHeight="1">
      <c r="B89" s="465" t="s">
        <v>541</v>
      </c>
      <c r="C89" s="465"/>
      <c r="D89" s="465"/>
      <c r="E89" s="465"/>
      <c r="F89" s="465"/>
      <c r="G89" s="759"/>
      <c r="H89" s="760"/>
      <c r="I89" s="759"/>
      <c r="J89" s="761"/>
      <c r="K89" s="877"/>
      <c r="L89" s="759"/>
      <c r="M89" s="670"/>
    </row>
    <row r="90" spans="2:20" s="4" customFormat="1" ht="25" customHeight="1">
      <c r="B90" s="554" t="s">
        <v>409</v>
      </c>
      <c r="C90" s="74"/>
      <c r="D90" s="74"/>
      <c r="E90" s="74"/>
      <c r="F90" s="133"/>
      <c r="G90" s="684"/>
      <c r="H90" s="685"/>
      <c r="I90" s="684"/>
      <c r="J90" s="686"/>
      <c r="K90" s="863"/>
      <c r="L90" s="763"/>
      <c r="M90" s="670"/>
      <c r="O90" s="682"/>
      <c r="P90" s="682"/>
    </row>
    <row r="91" spans="2:20" s="682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73"/>
      <c r="L91" s="737"/>
      <c r="M91" s="670"/>
      <c r="R91" s="689"/>
      <c r="T91" s="689"/>
    </row>
    <row r="92" spans="2:20" s="4" customFormat="1" ht="25" customHeight="1">
      <c r="B92" s="444" t="s">
        <v>208</v>
      </c>
      <c r="C92" s="10"/>
      <c r="D92" s="131"/>
      <c r="E92" s="131"/>
      <c r="F92" s="24"/>
      <c r="G92" s="131" t="s">
        <v>540</v>
      </c>
      <c r="H92" s="24"/>
      <c r="I92" s="743" t="s">
        <v>224</v>
      </c>
      <c r="J92" s="131"/>
      <c r="K92" s="614" t="s">
        <v>83</v>
      </c>
      <c r="L92" s="687"/>
      <c r="M92" s="670"/>
      <c r="N92" s="682"/>
    </row>
    <row r="93" spans="2:20" s="769" customFormat="1" ht="25" customHeight="1">
      <c r="B93" s="445" t="s">
        <v>535</v>
      </c>
      <c r="C93" s="963" t="s">
        <v>657</v>
      </c>
      <c r="D93" s="963"/>
      <c r="E93" s="524"/>
      <c r="F93" s="765"/>
      <c r="G93" s="764">
        <f>S3_archive.50_SEK</f>
        <v>350</v>
      </c>
      <c r="H93" s="765"/>
      <c r="I93" s="766"/>
      <c r="J93" s="767"/>
      <c r="K93" s="631">
        <f>I93*G93</f>
        <v>0</v>
      </c>
      <c r="L93" s="768"/>
      <c r="M93" s="670"/>
      <c r="N93" s="736"/>
    </row>
    <row r="94" spans="2:20" s="682" customFormat="1" ht="25" customHeight="1">
      <c r="B94" s="137" t="s">
        <v>494</v>
      </c>
      <c r="C94" s="41" t="s">
        <v>658</v>
      </c>
      <c r="D94" s="79"/>
      <c r="E94" s="79"/>
      <c r="F94" s="751"/>
      <c r="G94" s="650">
        <f>S3_storage50_SEK</f>
        <v>500</v>
      </c>
      <c r="H94" s="752"/>
      <c r="I94" s="770"/>
      <c r="J94" s="754"/>
      <c r="K94" s="858">
        <f>I94*G94</f>
        <v>0</v>
      </c>
      <c r="L94" s="8"/>
      <c r="M94" s="670"/>
      <c r="T94" s="689"/>
    </row>
    <row r="95" spans="2:20" s="903" customFormat="1" ht="25" customHeight="1">
      <c r="B95" s="899" t="s">
        <v>222</v>
      </c>
      <c r="C95" s="900"/>
      <c r="D95" s="900"/>
      <c r="E95" s="900"/>
      <c r="F95" s="900"/>
      <c r="G95" s="900"/>
      <c r="H95" s="900"/>
      <c r="I95" s="900"/>
      <c r="J95" s="900"/>
      <c r="K95" s="902">
        <f>SUM(K93:K94)</f>
        <v>0</v>
      </c>
      <c r="M95" s="670"/>
      <c r="P95" s="905"/>
      <c r="R95" s="905"/>
    </row>
    <row r="96" spans="2:20" ht="25" customHeight="1">
      <c r="B96" s="449"/>
      <c r="C96" s="17"/>
      <c r="D96" s="17"/>
      <c r="E96" s="17"/>
      <c r="F96" s="17"/>
      <c r="G96" s="713"/>
      <c r="H96" s="714"/>
      <c r="I96" s="714"/>
      <c r="M96" s="670"/>
      <c r="N96" s="689"/>
      <c r="O96" s="689"/>
      <c r="P96" s="698"/>
    </row>
    <row r="97" spans="2:19" s="723" customFormat="1" ht="25" hidden="1" customHeight="1">
      <c r="B97" s="416" t="s">
        <v>422</v>
      </c>
      <c r="C97" s="771"/>
      <c r="D97" s="771"/>
      <c r="E97" s="771"/>
      <c r="F97" s="771"/>
      <c r="G97" s="771"/>
      <c r="H97" s="27"/>
      <c r="I97" s="27"/>
      <c r="J97" s="27"/>
      <c r="K97" s="873"/>
      <c r="M97" s="670"/>
      <c r="N97" s="27"/>
      <c r="O97" s="27"/>
      <c r="P97" s="726"/>
      <c r="Q97" s="27"/>
      <c r="R97" s="727"/>
    </row>
    <row r="98" spans="2:19" s="4" customFormat="1" ht="25" hidden="1" customHeight="1">
      <c r="B98" s="444" t="s">
        <v>208</v>
      </c>
      <c r="C98" s="10" t="s">
        <v>224</v>
      </c>
      <c r="D98" s="981" t="s">
        <v>225</v>
      </c>
      <c r="E98" s="981"/>
      <c r="F98" s="981"/>
      <c r="G98" s="981"/>
      <c r="H98" s="981"/>
      <c r="I98" s="981"/>
      <c r="J98" s="131"/>
      <c r="K98" s="614"/>
      <c r="L98" s="687"/>
      <c r="M98" s="670"/>
      <c r="N98" s="682"/>
    </row>
    <row r="99" spans="2:19" s="769" customFormat="1" ht="25" hidden="1" customHeight="1">
      <c r="B99" s="466" t="s">
        <v>423</v>
      </c>
      <c r="C99" s="82"/>
      <c r="D99" s="25"/>
      <c r="E99" s="772" cm="1">
        <f t="array" ref="E99">_xlfn.IFS(H99&lt;50,D100,H99&lt;100,D101,H99&lt;500,D102,H99&lt;1000,D103,H99&gt;999,D104)</f>
        <v>185</v>
      </c>
      <c r="F99" s="772"/>
      <c r="G99" s="772"/>
      <c r="H99" s="958">
        <v>600</v>
      </c>
      <c r="I99" s="774" t="s">
        <v>84</v>
      </c>
      <c r="J99" s="775"/>
      <c r="K99" s="596" cm="1">
        <f t="array" ref="K99">_xlfn.IFS(H99&lt;1000,ROUNDUP(H99*E99,2),H99&gt;999,E99)</f>
        <v>111000</v>
      </c>
      <c r="L99" s="768"/>
      <c r="M99" s="670"/>
      <c r="N99" s="736"/>
    </row>
    <row r="100" spans="2:19" s="4" customFormat="1" ht="25" hidden="1" customHeight="1">
      <c r="B100" s="605" t="s">
        <v>423</v>
      </c>
      <c r="C100" s="606" t="s">
        <v>429</v>
      </c>
      <c r="D100" s="980">
        <f>S3_archive.50_SEK</f>
        <v>350</v>
      </c>
      <c r="E100" s="980"/>
      <c r="F100" s="980"/>
      <c r="G100" s="980"/>
      <c r="H100" s="980"/>
      <c r="I100" s="980"/>
      <c r="J100" s="916"/>
      <c r="K100" s="878"/>
      <c r="L100" s="687"/>
      <c r="M100" s="670"/>
      <c r="N100" s="682"/>
    </row>
    <row r="101" spans="2:19" s="4" customFormat="1" ht="25" hidden="1" customHeight="1">
      <c r="B101" s="617" t="s">
        <v>423</v>
      </c>
      <c r="C101" s="618" t="s">
        <v>430</v>
      </c>
      <c r="D101" s="978">
        <f>S3_archive.100_SEK</f>
        <v>270</v>
      </c>
      <c r="E101" s="978"/>
      <c r="F101" s="978"/>
      <c r="G101" s="978"/>
      <c r="H101" s="978"/>
      <c r="I101" s="978"/>
      <c r="J101" s="918"/>
      <c r="K101" s="879"/>
      <c r="L101" s="687"/>
      <c r="M101" s="670"/>
      <c r="N101" s="682"/>
    </row>
    <row r="102" spans="2:19" s="4" customFormat="1" ht="25" hidden="1" customHeight="1">
      <c r="B102" s="605" t="s">
        <v>423</v>
      </c>
      <c r="C102" s="606" t="s">
        <v>431</v>
      </c>
      <c r="D102" s="969">
        <f>S3_archive.500_SEK</f>
        <v>200</v>
      </c>
      <c r="E102" s="969"/>
      <c r="F102" s="969"/>
      <c r="G102" s="969"/>
      <c r="H102" s="969"/>
      <c r="I102" s="969"/>
      <c r="J102" s="919"/>
      <c r="K102" s="880"/>
      <c r="L102" s="687"/>
      <c r="M102" s="670"/>
      <c r="N102" s="682"/>
    </row>
    <row r="103" spans="2:19" s="4" customFormat="1" ht="25" hidden="1" customHeight="1">
      <c r="B103" s="617" t="s">
        <v>423</v>
      </c>
      <c r="C103" s="618" t="s">
        <v>432</v>
      </c>
      <c r="D103" s="978">
        <f>S3_archive.1000_SEK</f>
        <v>185</v>
      </c>
      <c r="E103" s="978"/>
      <c r="F103" s="978"/>
      <c r="G103" s="978"/>
      <c r="H103" s="978"/>
      <c r="I103" s="978"/>
      <c r="J103" s="918"/>
      <c r="K103" s="879"/>
      <c r="L103" s="687"/>
      <c r="M103" s="670"/>
      <c r="N103" s="682"/>
    </row>
    <row r="104" spans="2:19" s="4" customFormat="1" ht="25" hidden="1" customHeight="1">
      <c r="B104" s="609" t="s">
        <v>423</v>
      </c>
      <c r="C104" s="610" t="s">
        <v>433</v>
      </c>
      <c r="D104" s="979" t="str">
        <f>S3_archive.quote_SEK</f>
        <v>Be om offert</v>
      </c>
      <c r="E104" s="979"/>
      <c r="F104" s="979"/>
      <c r="G104" s="979"/>
      <c r="H104" s="979"/>
      <c r="I104" s="979"/>
      <c r="J104" s="917"/>
      <c r="K104" s="881"/>
      <c r="L104" s="687"/>
      <c r="M104" s="670"/>
      <c r="N104" s="682"/>
    </row>
    <row r="105" spans="2:19" s="4" customFormat="1" ht="25" hidden="1" customHeight="1">
      <c r="B105" s="448" t="s">
        <v>85</v>
      </c>
      <c r="C105" s="19"/>
      <c r="D105" s="19"/>
      <c r="E105" s="19"/>
      <c r="F105" s="708"/>
      <c r="G105" s="708"/>
      <c r="H105" s="709"/>
      <c r="I105" s="709"/>
      <c r="J105" s="776"/>
      <c r="K105" s="869">
        <f>K99</f>
        <v>111000</v>
      </c>
      <c r="L105" s="687"/>
      <c r="M105" s="670"/>
      <c r="N105" s="682"/>
    </row>
    <row r="106" spans="2:19" s="728" customFormat="1" ht="25" customHeight="1">
      <c r="B106" s="465"/>
      <c r="C106" s="19"/>
      <c r="D106" s="133"/>
      <c r="E106" s="133"/>
      <c r="F106" s="133"/>
      <c r="G106" s="684"/>
      <c r="H106" s="685"/>
      <c r="I106" s="709"/>
      <c r="J106" s="763"/>
      <c r="K106" s="863"/>
      <c r="L106" s="687"/>
      <c r="M106" s="670"/>
      <c r="N106" s="745"/>
      <c r="O106" s="745"/>
      <c r="P106" s="745"/>
      <c r="Q106" s="745"/>
      <c r="R106" s="745"/>
      <c r="S106" s="745"/>
    </row>
    <row r="107" spans="2:19" ht="25" customHeight="1">
      <c r="B107" s="639"/>
      <c r="C107" s="26"/>
      <c r="D107" s="26"/>
      <c r="E107" s="26"/>
      <c r="F107" s="777"/>
      <c r="G107" s="778"/>
      <c r="H107" s="756"/>
      <c r="I107" s="756"/>
      <c r="J107" s="779"/>
      <c r="K107" s="875"/>
      <c r="L107" s="758"/>
      <c r="M107" s="670"/>
      <c r="N107" s="682"/>
      <c r="Q107" s="4"/>
    </row>
    <row r="108" spans="2:19" s="4" customFormat="1" ht="25" customHeight="1">
      <c r="B108" s="967" t="s">
        <v>667</v>
      </c>
      <c r="C108" s="967"/>
      <c r="D108" s="967"/>
      <c r="E108" s="967"/>
      <c r="F108" s="967"/>
      <c r="G108" s="967"/>
      <c r="H108" s="679"/>
      <c r="J108" s="681"/>
      <c r="K108" s="862"/>
      <c r="L108" s="681"/>
      <c r="M108" s="670"/>
    </row>
    <row r="109" spans="2:19" s="4" customFormat="1" ht="25" customHeight="1">
      <c r="B109" s="967"/>
      <c r="C109" s="967"/>
      <c r="D109" s="967"/>
      <c r="E109" s="967"/>
      <c r="F109" s="967"/>
      <c r="G109" s="967"/>
      <c r="H109" s="679"/>
      <c r="J109" s="681"/>
      <c r="K109" s="862"/>
      <c r="L109" s="681"/>
      <c r="M109" s="670"/>
    </row>
    <row r="110" spans="2:19" s="4" customFormat="1" ht="25" customHeight="1">
      <c r="B110" s="967"/>
      <c r="C110" s="967"/>
      <c r="D110" s="967"/>
      <c r="E110" s="967"/>
      <c r="F110" s="967"/>
      <c r="G110" s="967"/>
      <c r="H110" s="679"/>
      <c r="J110" s="681"/>
      <c r="K110" s="862"/>
      <c r="L110" s="681"/>
      <c r="M110" s="670"/>
    </row>
    <row r="111" spans="2:19" s="4" customFormat="1" ht="25" customHeight="1">
      <c r="B111" s="551" t="s">
        <v>536</v>
      </c>
      <c r="C111" s="551"/>
      <c r="D111" s="551"/>
      <c r="E111" s="551"/>
      <c r="F111" s="551"/>
      <c r="H111" s="679"/>
      <c r="J111" s="681"/>
      <c r="K111" s="862"/>
      <c r="L111" s="681"/>
      <c r="M111" s="670"/>
    </row>
    <row r="112" spans="2:19" s="4" customFormat="1" ht="25" customHeight="1">
      <c r="B112" s="465" t="s">
        <v>420</v>
      </c>
      <c r="C112" s="465"/>
      <c r="D112" s="465"/>
      <c r="E112" s="465"/>
      <c r="F112" s="465"/>
      <c r="G112" s="684"/>
      <c r="H112" s="685"/>
      <c r="I112" s="684"/>
      <c r="J112" s="686"/>
      <c r="K112" s="863"/>
      <c r="L112" s="763"/>
      <c r="M112" s="670"/>
    </row>
    <row r="113" spans="2:32" s="8" customFormat="1" ht="25" customHeight="1">
      <c r="B113" s="554" t="s">
        <v>450</v>
      </c>
      <c r="C113" s="74"/>
      <c r="D113" s="74"/>
      <c r="E113" s="74"/>
      <c r="F113" s="133"/>
      <c r="G113" s="684"/>
      <c r="H113" s="685"/>
      <c r="I113" s="684"/>
      <c r="J113" s="686"/>
      <c r="K113" s="863"/>
      <c r="L113" s="763"/>
      <c r="M113" s="670"/>
      <c r="O113" s="682"/>
      <c r="P113" s="682"/>
      <c r="Q113" s="682"/>
      <c r="R113" s="682"/>
      <c r="S113" s="682"/>
      <c r="T113" s="682"/>
      <c r="U113" s="682"/>
      <c r="X113" s="1"/>
      <c r="Y113" s="1"/>
      <c r="Z113" s="1"/>
    </row>
    <row r="114" spans="2:32" s="728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73"/>
      <c r="L114" s="8"/>
      <c r="M114" s="670"/>
      <c r="P114" s="745"/>
      <c r="Q114" s="745"/>
      <c r="R114" s="745"/>
      <c r="S114" s="745"/>
      <c r="T114" s="745"/>
      <c r="U114" s="745"/>
    </row>
    <row r="115" spans="2:32" ht="25" customHeight="1">
      <c r="B115" s="444" t="s">
        <v>208</v>
      </c>
      <c r="C115" s="788"/>
      <c r="D115" s="788"/>
      <c r="E115" s="24" t="s">
        <v>228</v>
      </c>
      <c r="F115" s="788"/>
      <c r="G115" s="24" t="s">
        <v>619</v>
      </c>
      <c r="H115" s="24"/>
      <c r="I115" s="743" t="s">
        <v>90</v>
      </c>
      <c r="J115" s="743" t="s">
        <v>458</v>
      </c>
      <c r="K115" s="614" t="s">
        <v>92</v>
      </c>
      <c r="L115" s="737"/>
      <c r="M115" s="670"/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781">
        <f>BAAS_on.demand_SEK</f>
        <v>2.4500000000000002</v>
      </c>
      <c r="H116" s="399"/>
      <c r="I116" s="766"/>
      <c r="J116" s="908" t="s">
        <v>94</v>
      </c>
      <c r="K116" s="857">
        <f>ROUNDUP(I116*G116,2)</f>
        <v>0</v>
      </c>
      <c r="L116" s="737"/>
      <c r="M116" s="670"/>
    </row>
    <row r="117" spans="2:32" ht="25" customHeight="1">
      <c r="B117" s="137" t="s">
        <v>496</v>
      </c>
      <c r="C117" s="79"/>
      <c r="D117" s="79"/>
      <c r="E117" s="31">
        <v>5500</v>
      </c>
      <c r="F117" s="754"/>
      <c r="G117" s="782">
        <f>BAAS_small_SEK</f>
        <v>1.75</v>
      </c>
      <c r="H117" s="754"/>
      <c r="I117" s="783"/>
      <c r="J117" s="784">
        <v>0.75</v>
      </c>
      <c r="K117" s="858">
        <f>IF(I117&gt;0,$E$117+($G$117*(I117*(1-$J$117))),0)</f>
        <v>0</v>
      </c>
      <c r="L117" s="737"/>
      <c r="M117" s="670"/>
    </row>
    <row r="118" spans="2:32" s="785" customFormat="1" ht="25" customHeight="1">
      <c r="B118" s="466" t="s">
        <v>497</v>
      </c>
      <c r="C118" s="82"/>
      <c r="D118" s="82"/>
      <c r="E118" s="33">
        <v>9500</v>
      </c>
      <c r="F118" s="774"/>
      <c r="G118" s="781">
        <f>BAAS_large_SEK</f>
        <v>0.92</v>
      </c>
      <c r="H118" s="774"/>
      <c r="I118" s="773"/>
      <c r="J118" s="786">
        <v>0.75</v>
      </c>
      <c r="K118" s="596">
        <f>IF(I118&gt;0,$E$118+($G$118*(I118*(1-$J$118))),0)</f>
        <v>0</v>
      </c>
      <c r="L118" s="737"/>
      <c r="M118" s="670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903" customFormat="1" ht="25" customHeight="1">
      <c r="B119" s="899" t="s">
        <v>222</v>
      </c>
      <c r="C119" s="900"/>
      <c r="D119" s="900"/>
      <c r="E119" s="900"/>
      <c r="F119" s="900"/>
      <c r="G119" s="900"/>
      <c r="H119" s="900"/>
      <c r="I119" s="900" t="str">
        <f>SUM(I116:I118)&amp;" GB"</f>
        <v>0 GB</v>
      </c>
      <c r="J119" s="900"/>
      <c r="K119" s="902">
        <f>SUM(K116:K118)</f>
        <v>0</v>
      </c>
      <c r="M119" s="670"/>
      <c r="P119" s="905"/>
      <c r="R119" s="905"/>
    </row>
    <row r="120" spans="2:32" s="785" customFormat="1" ht="25" customHeight="1">
      <c r="B120" s="448"/>
      <c r="C120" s="19"/>
      <c r="D120" s="19"/>
      <c r="E120" s="19"/>
      <c r="F120" s="907"/>
      <c r="G120" s="709"/>
      <c r="H120" s="709"/>
      <c r="I120" s="709"/>
      <c r="J120" s="709"/>
      <c r="K120" s="882"/>
      <c r="L120" s="776"/>
      <c r="M120" s="670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77"/>
      <c r="G121" s="778"/>
      <c r="H121" s="756"/>
      <c r="I121" s="756"/>
      <c r="J121" s="779"/>
      <c r="K121" s="875"/>
      <c r="L121" s="768"/>
      <c r="M121" s="670"/>
      <c r="N121" s="682"/>
    </row>
    <row r="122" spans="2:32" ht="25" customHeight="1">
      <c r="B122" s="639"/>
      <c r="C122" s="26"/>
      <c r="D122" s="26"/>
      <c r="E122" s="26"/>
      <c r="F122" s="777"/>
      <c r="G122" s="778"/>
      <c r="H122" s="756"/>
      <c r="I122" s="756"/>
      <c r="J122" s="779"/>
      <c r="K122" s="875"/>
      <c r="L122" s="758"/>
      <c r="M122" s="670"/>
      <c r="N122" s="682"/>
      <c r="Q122" s="4"/>
    </row>
    <row r="123" spans="2:32" s="4" customFormat="1" ht="25" customHeight="1">
      <c r="B123" s="967" t="s">
        <v>442</v>
      </c>
      <c r="C123" s="967"/>
      <c r="D123" s="967"/>
      <c r="E123" s="967"/>
      <c r="F123" s="967"/>
      <c r="G123" s="967"/>
      <c r="H123" s="679"/>
      <c r="J123" s="681"/>
      <c r="K123" s="862"/>
      <c r="L123" s="681"/>
      <c r="M123" s="670"/>
    </row>
    <row r="124" spans="2:32" s="4" customFormat="1" ht="25" customHeight="1">
      <c r="B124" s="967"/>
      <c r="C124" s="967"/>
      <c r="D124" s="967"/>
      <c r="E124" s="967"/>
      <c r="F124" s="967"/>
      <c r="G124" s="967"/>
      <c r="H124" s="679"/>
      <c r="J124" s="681"/>
      <c r="K124" s="862"/>
      <c r="L124" s="681"/>
      <c r="M124" s="670"/>
    </row>
    <row r="125" spans="2:32" s="4" customFormat="1" ht="25" customHeight="1">
      <c r="B125" s="967"/>
      <c r="C125" s="967"/>
      <c r="D125" s="967"/>
      <c r="E125" s="967"/>
      <c r="F125" s="967"/>
      <c r="G125" s="967"/>
      <c r="H125" s="679"/>
      <c r="J125" s="681"/>
      <c r="K125" s="862"/>
      <c r="L125" s="681"/>
      <c r="M125" s="670"/>
    </row>
    <row r="126" spans="2:32" s="4" customFormat="1" ht="25" customHeight="1">
      <c r="B126" s="551" t="s">
        <v>661</v>
      </c>
      <c r="C126" s="6"/>
      <c r="D126" s="6"/>
      <c r="E126" s="6"/>
      <c r="F126" s="6"/>
      <c r="H126" s="679"/>
      <c r="J126" s="681"/>
      <c r="K126" s="862"/>
      <c r="L126" s="681"/>
      <c r="M126" s="670"/>
    </row>
    <row r="127" spans="2:32" s="4" customFormat="1" ht="25" customHeight="1">
      <c r="B127" s="465" t="s">
        <v>662</v>
      </c>
      <c r="C127" s="505"/>
      <c r="D127" s="505"/>
      <c r="E127" s="505"/>
      <c r="F127" s="505"/>
      <c r="H127" s="685"/>
      <c r="I127" s="684"/>
      <c r="J127" s="686"/>
      <c r="K127" s="863"/>
      <c r="L127" s="763"/>
      <c r="M127" s="670"/>
    </row>
    <row r="128" spans="2:32" s="8" customFormat="1" ht="25" customHeight="1">
      <c r="B128" s="554" t="s">
        <v>453</v>
      </c>
      <c r="C128" s="74"/>
      <c r="D128" s="74"/>
      <c r="E128" s="74"/>
      <c r="F128" s="133"/>
      <c r="G128" s="684"/>
      <c r="H128" s="685"/>
      <c r="I128" s="684"/>
      <c r="J128" s="686"/>
      <c r="K128" s="863"/>
      <c r="L128" s="763"/>
      <c r="M128" s="670"/>
      <c r="O128" s="682"/>
      <c r="P128" s="682"/>
      <c r="Q128" s="682"/>
      <c r="R128" s="682"/>
      <c r="S128" s="682"/>
      <c r="T128" s="682"/>
      <c r="U128" s="682"/>
      <c r="X128" s="1"/>
      <c r="Y128" s="1"/>
      <c r="Z128" s="1"/>
    </row>
    <row r="129" spans="2:32" s="728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73"/>
      <c r="L129" s="8"/>
      <c r="M129" s="670"/>
      <c r="P129" s="745"/>
      <c r="Q129" s="745"/>
      <c r="R129" s="745"/>
      <c r="S129" s="745"/>
      <c r="T129" s="745"/>
      <c r="U129" s="745"/>
    </row>
    <row r="130" spans="2:32" ht="25" customHeight="1">
      <c r="B130" s="444" t="s">
        <v>208</v>
      </c>
      <c r="C130" s="968" t="s">
        <v>445</v>
      </c>
      <c r="D130" s="968"/>
      <c r="E130" s="968" t="s">
        <v>446</v>
      </c>
      <c r="F130" s="968"/>
      <c r="G130" s="968" t="s">
        <v>228</v>
      </c>
      <c r="H130" s="968"/>
      <c r="I130" s="24"/>
      <c r="J130" s="24"/>
      <c r="K130" s="614" t="s">
        <v>92</v>
      </c>
      <c r="L130" s="737"/>
      <c r="M130" s="670"/>
    </row>
    <row r="131" spans="2:32" ht="25" customHeight="1">
      <c r="B131" s="853" t="s">
        <v>498</v>
      </c>
      <c r="C131" s="974" t="s">
        <v>575</v>
      </c>
      <c r="D131" s="974"/>
      <c r="E131" s="976" t="s">
        <v>444</v>
      </c>
      <c r="F131" s="976"/>
      <c r="G131" s="970">
        <v>15000</v>
      </c>
      <c r="H131" s="971"/>
      <c r="I131" s="766"/>
      <c r="J131" s="962">
        <v>2</v>
      </c>
      <c r="K131" s="883" t="str">
        <f>IF(J131=1,G131," ")</f>
        <v xml:space="preserve"> </v>
      </c>
      <c r="L131" s="737"/>
      <c r="M131" s="670"/>
    </row>
    <row r="132" spans="2:32" ht="25" customHeight="1">
      <c r="B132" s="137" t="s">
        <v>499</v>
      </c>
      <c r="C132" s="975" t="s">
        <v>443</v>
      </c>
      <c r="D132" s="975"/>
      <c r="E132" s="977" t="s">
        <v>447</v>
      </c>
      <c r="F132" s="977"/>
      <c r="G132" s="972">
        <v>24000</v>
      </c>
      <c r="H132" s="973"/>
      <c r="I132" s="770"/>
      <c r="J132" s="754"/>
      <c r="K132" s="884" t="str">
        <f>IF(J131=3,G132," ")</f>
        <v xml:space="preserve"> </v>
      </c>
      <c r="L132" s="737"/>
      <c r="M132" s="670"/>
    </row>
    <row r="133" spans="2:32" s="903" customFormat="1" ht="25" customHeight="1">
      <c r="B133" s="899" t="s">
        <v>222</v>
      </c>
      <c r="C133" s="900"/>
      <c r="D133" s="900"/>
      <c r="E133" s="900"/>
      <c r="F133" s="900"/>
      <c r="G133" s="900"/>
      <c r="H133" s="900"/>
      <c r="I133" s="961"/>
      <c r="J133" s="900"/>
      <c r="K133" s="902">
        <f>SUM(K131:K132)</f>
        <v>0</v>
      </c>
      <c r="M133" s="670"/>
      <c r="P133" s="905"/>
      <c r="R133" s="905"/>
    </row>
    <row r="134" spans="2:32" s="785" customFormat="1" ht="25" customHeight="1">
      <c r="B134" s="448"/>
      <c r="C134" s="709"/>
      <c r="D134" s="708"/>
      <c r="E134" s="708"/>
      <c r="F134" s="708"/>
      <c r="G134" s="709"/>
      <c r="H134" s="709"/>
      <c r="I134" s="709"/>
      <c r="J134" s="709"/>
      <c r="K134" s="869"/>
      <c r="L134" s="737"/>
      <c r="M134" s="670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85" customFormat="1" ht="25" customHeight="1">
      <c r="B135" s="448"/>
      <c r="C135" s="19"/>
      <c r="D135" s="19"/>
      <c r="E135" s="19"/>
      <c r="F135" s="708"/>
      <c r="G135" s="709"/>
      <c r="H135" s="709"/>
      <c r="I135" s="709"/>
      <c r="J135" s="709"/>
      <c r="K135" s="882"/>
      <c r="L135" s="776"/>
      <c r="M135" s="670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8" customFormat="1" ht="25" customHeight="1">
      <c r="B136" s="465"/>
      <c r="C136" s="19"/>
      <c r="D136" s="133"/>
      <c r="E136" s="133"/>
      <c r="F136" s="133"/>
      <c r="G136" s="684"/>
      <c r="H136" s="685"/>
      <c r="I136" s="684"/>
      <c r="J136" s="763"/>
      <c r="K136" s="863"/>
      <c r="L136" s="687"/>
      <c r="M136" s="670"/>
      <c r="N136" s="745"/>
      <c r="O136" s="745"/>
      <c r="P136" s="745"/>
      <c r="Q136" s="745"/>
      <c r="R136" s="745"/>
      <c r="S136" s="745"/>
    </row>
    <row r="137" spans="2:32" s="4" customFormat="1" ht="25" customHeight="1">
      <c r="B137" s="967" t="s">
        <v>234</v>
      </c>
      <c r="C137" s="967"/>
      <c r="D137" s="967"/>
      <c r="E137" s="967"/>
      <c r="F137" s="967"/>
      <c r="G137" s="967"/>
      <c r="H137" s="679"/>
      <c r="J137" s="681"/>
      <c r="K137" s="862"/>
      <c r="M137" s="670"/>
    </row>
    <row r="138" spans="2:32" s="4" customFormat="1" ht="25" customHeight="1">
      <c r="B138" s="967"/>
      <c r="C138" s="967"/>
      <c r="D138" s="967"/>
      <c r="E138" s="967"/>
      <c r="F138" s="967"/>
      <c r="G138" s="967"/>
      <c r="H138" s="679"/>
      <c r="J138" s="681"/>
      <c r="K138" s="862"/>
      <c r="M138" s="670"/>
    </row>
    <row r="139" spans="2:32" s="4" customFormat="1" ht="25" customHeight="1">
      <c r="B139" s="967"/>
      <c r="C139" s="967"/>
      <c r="D139" s="967"/>
      <c r="E139" s="967"/>
      <c r="F139" s="967"/>
      <c r="G139" s="967"/>
      <c r="H139" s="679"/>
      <c r="J139" s="681"/>
      <c r="K139" s="862"/>
      <c r="M139" s="670"/>
    </row>
    <row r="140" spans="2:32" s="4" customFormat="1" ht="25" customHeight="1">
      <c r="B140" s="465" t="s">
        <v>420</v>
      </c>
      <c r="C140" s="505"/>
      <c r="D140" s="505"/>
      <c r="E140" s="505"/>
      <c r="F140" s="505"/>
      <c r="H140" s="679"/>
      <c r="J140" s="681"/>
      <c r="K140" s="862"/>
      <c r="M140" s="670"/>
    </row>
    <row r="141" spans="2:32" s="4" customFormat="1" ht="25" customHeight="1">
      <c r="B141" s="465"/>
      <c r="C141" s="133"/>
      <c r="D141" s="133"/>
      <c r="E141" s="133"/>
      <c r="F141" s="133"/>
      <c r="G141" s="684"/>
      <c r="H141" s="685"/>
      <c r="I141" s="684"/>
      <c r="J141" s="686"/>
      <c r="K141" s="863"/>
      <c r="L141" s="684"/>
      <c r="M141" s="670"/>
    </row>
    <row r="142" spans="2:32" s="8" customFormat="1" ht="25" customHeight="1">
      <c r="B142" s="651" t="s">
        <v>389</v>
      </c>
      <c r="C142" s="133"/>
      <c r="D142" s="133"/>
      <c r="E142" s="133"/>
      <c r="F142" s="133"/>
      <c r="G142" s="684"/>
      <c r="H142" s="684"/>
      <c r="I142" s="684"/>
      <c r="J142" s="686"/>
      <c r="K142" s="863"/>
      <c r="L142" s="684"/>
      <c r="M142" s="670"/>
      <c r="N142" s="682"/>
      <c r="O142" s="682"/>
      <c r="P142" s="682"/>
      <c r="Q142" s="682"/>
      <c r="R142" s="682"/>
      <c r="S142" s="682"/>
    </row>
    <row r="143" spans="2:32" ht="25" customHeight="1">
      <c r="B143" s="630" t="s">
        <v>545</v>
      </c>
      <c r="M143" s="670"/>
    </row>
    <row r="144" spans="2:32" ht="25" customHeight="1">
      <c r="B144" s="470" t="s">
        <v>208</v>
      </c>
      <c r="C144" s="23" t="s">
        <v>235</v>
      </c>
      <c r="D144" s="23"/>
      <c r="E144" s="24" t="s">
        <v>220</v>
      </c>
      <c r="F144" s="24"/>
      <c r="G144" s="24"/>
      <c r="H144" s="24"/>
      <c r="I144" s="24"/>
      <c r="J144" s="23" t="s">
        <v>236</v>
      </c>
      <c r="K144" s="614" t="s">
        <v>211</v>
      </c>
      <c r="L144" s="13"/>
      <c r="M144" s="670"/>
      <c r="N144" s="758"/>
      <c r="O144" s="8"/>
    </row>
    <row r="145" spans="2:18" ht="25" customHeight="1">
      <c r="B145" s="134" t="s">
        <v>500</v>
      </c>
      <c r="C145" s="129" t="s">
        <v>105</v>
      </c>
      <c r="D145" s="129"/>
      <c r="E145" s="39" t="s">
        <v>237</v>
      </c>
      <c r="F145" s="30"/>
      <c r="G145" s="30"/>
      <c r="H145" s="30"/>
      <c r="I145" s="30"/>
      <c r="J145" s="791" t="s">
        <v>107</v>
      </c>
      <c r="K145" s="857">
        <f>NET_publicv4_SEK</f>
        <v>25</v>
      </c>
      <c r="M145" s="670"/>
      <c r="N145" s="758"/>
      <c r="O145" s="8"/>
    </row>
    <row r="146" spans="2:18" ht="25" customHeight="1">
      <c r="B146" s="137" t="s">
        <v>501</v>
      </c>
      <c r="C146" s="130" t="s">
        <v>109</v>
      </c>
      <c r="D146" s="130"/>
      <c r="E146" s="41" t="s">
        <v>237</v>
      </c>
      <c r="F146" s="792"/>
      <c r="G146" s="792"/>
      <c r="H146" s="792"/>
      <c r="I146" s="792"/>
      <c r="J146" s="793" t="s">
        <v>94</v>
      </c>
      <c r="K146" s="556">
        <f>NET_publicv6_SEK</f>
        <v>0</v>
      </c>
      <c r="M146" s="670"/>
      <c r="N146" s="758"/>
      <c r="O146" s="8"/>
    </row>
    <row r="147" spans="2:18" ht="25" customHeight="1">
      <c r="B147" s="134" t="s">
        <v>502</v>
      </c>
      <c r="C147" s="129" t="s">
        <v>238</v>
      </c>
      <c r="D147" s="129"/>
      <c r="E147" s="148"/>
      <c r="F147" s="37"/>
      <c r="G147" s="37"/>
      <c r="H147" s="37"/>
      <c r="I147" s="37"/>
      <c r="J147" s="791" t="s">
        <v>69</v>
      </c>
      <c r="K147" s="557">
        <f>NET_ingress_SEK</f>
        <v>0</v>
      </c>
      <c r="M147" s="670"/>
      <c r="N147" s="758"/>
      <c r="O147" s="8"/>
    </row>
    <row r="148" spans="2:18" ht="25" customHeight="1">
      <c r="B148" s="137" t="s">
        <v>503</v>
      </c>
      <c r="C148" s="130" t="s">
        <v>238</v>
      </c>
      <c r="D148" s="130"/>
      <c r="E148" s="41" t="s">
        <v>239</v>
      </c>
      <c r="F148" s="792"/>
      <c r="G148" s="792"/>
      <c r="H148" s="792"/>
      <c r="I148" s="792"/>
      <c r="J148" s="794" t="s">
        <v>69</v>
      </c>
      <c r="K148" s="556">
        <f>NET_egress_SEK</f>
        <v>0.25</v>
      </c>
      <c r="M148" s="670"/>
      <c r="N148" s="758"/>
      <c r="O148" s="8"/>
    </row>
    <row r="149" spans="2:18" ht="25" customHeight="1">
      <c r="B149" s="134" t="s">
        <v>504</v>
      </c>
      <c r="C149" s="129" t="s">
        <v>115</v>
      </c>
      <c r="D149" s="129"/>
      <c r="E149" s="30" t="s">
        <v>411</v>
      </c>
      <c r="F149" s="37"/>
      <c r="G149" s="37"/>
      <c r="H149" s="37"/>
      <c r="I149" s="37"/>
      <c r="J149" s="791" t="s">
        <v>240</v>
      </c>
      <c r="K149" s="557" t="str">
        <f>NET_mgn.slb_SEK</f>
        <v>Begär offert</v>
      </c>
      <c r="M149" s="670"/>
    </row>
    <row r="150" spans="2:18" ht="25" customHeight="1">
      <c r="B150" s="137" t="s">
        <v>505</v>
      </c>
      <c r="C150" s="130" t="s">
        <v>118</v>
      </c>
      <c r="D150" s="130"/>
      <c r="E150" s="41"/>
      <c r="F150" s="792"/>
      <c r="G150" s="792"/>
      <c r="H150" s="792"/>
      <c r="I150" s="792"/>
      <c r="J150" s="793" t="s">
        <v>94</v>
      </c>
      <c r="K150" s="556">
        <f>NET_rdns_SEK</f>
        <v>0</v>
      </c>
      <c r="M150" s="670"/>
      <c r="N150" s="758"/>
      <c r="O150" s="8"/>
    </row>
    <row r="151" spans="2:18" ht="25" customHeight="1">
      <c r="B151" s="134" t="s">
        <v>506</v>
      </c>
      <c r="C151" s="129" t="s">
        <v>121</v>
      </c>
      <c r="D151" s="129"/>
      <c r="E151" s="30"/>
      <c r="F151" s="37"/>
      <c r="G151" s="37"/>
      <c r="H151" s="37"/>
      <c r="I151" s="37"/>
      <c r="J151" s="796" t="s">
        <v>94</v>
      </c>
      <c r="K151" s="557">
        <v>0</v>
      </c>
      <c r="M151" s="670"/>
      <c r="N151" s="758"/>
      <c r="O151" s="8"/>
    </row>
    <row r="152" spans="2:18" ht="25" customHeight="1">
      <c r="B152" s="641"/>
      <c r="C152" s="141"/>
      <c r="D152" s="142"/>
      <c r="E152" s="142"/>
      <c r="F152" s="142"/>
      <c r="G152" s="142"/>
      <c r="H152" s="142"/>
      <c r="I152" s="142"/>
      <c r="J152" s="141"/>
      <c r="K152" s="885"/>
      <c r="M152" s="670"/>
      <c r="N152" s="758"/>
      <c r="O152" s="8"/>
    </row>
    <row r="153" spans="2:18" ht="25" customHeight="1">
      <c r="C153" s="43"/>
      <c r="J153" s="43"/>
      <c r="M153" s="670"/>
      <c r="N153" s="758"/>
      <c r="O153" s="8"/>
    </row>
    <row r="154" spans="2:18" ht="25" customHeight="1">
      <c r="C154" s="43"/>
      <c r="J154" s="43"/>
      <c r="M154" s="670"/>
      <c r="N154" s="758"/>
      <c r="O154" s="8"/>
    </row>
    <row r="155" spans="2:18" ht="25" customHeight="1">
      <c r="B155" s="651" t="s">
        <v>241</v>
      </c>
      <c r="C155" s="13"/>
      <c r="D155" s="13"/>
      <c r="E155" s="13"/>
      <c r="F155" s="13"/>
      <c r="G155" s="13"/>
      <c r="H155" s="13"/>
      <c r="I155" s="13"/>
      <c r="J155" s="797"/>
      <c r="M155" s="670"/>
      <c r="N155" s="758"/>
      <c r="O155" s="8"/>
    </row>
    <row r="156" spans="2:18" ht="25" customHeight="1">
      <c r="B156" s="630" t="s">
        <v>459</v>
      </c>
      <c r="M156" s="670"/>
    </row>
    <row r="157" spans="2:18" ht="25" customHeight="1">
      <c r="B157" s="470" t="s">
        <v>208</v>
      </c>
      <c r="C157" s="23"/>
      <c r="D157" s="23"/>
      <c r="E157" s="23" t="s">
        <v>220</v>
      </c>
      <c r="F157" s="24"/>
      <c r="G157" s="24"/>
      <c r="H157" s="24"/>
      <c r="I157" s="24"/>
      <c r="J157" s="23" t="s">
        <v>236</v>
      </c>
      <c r="K157" s="614" t="s">
        <v>211</v>
      </c>
      <c r="M157" s="670"/>
      <c r="N157" s="758"/>
      <c r="O157" s="8"/>
    </row>
    <row r="158" spans="2:18" ht="25" customHeight="1">
      <c r="B158" s="134" t="s">
        <v>507</v>
      </c>
      <c r="C158" s="129"/>
      <c r="D158" s="30"/>
      <c r="E158" s="30" t="s">
        <v>123</v>
      </c>
      <c r="F158" s="30"/>
      <c r="G158" s="30"/>
      <c r="H158" s="30"/>
      <c r="I158" s="30"/>
      <c r="J158" s="791" t="s">
        <v>10</v>
      </c>
      <c r="K158" s="857">
        <f>SW_win.ser.201X_SEK</f>
        <v>78</v>
      </c>
      <c r="L158" s="756"/>
      <c r="M158" s="670"/>
      <c r="N158" s="758"/>
      <c r="O158" s="8"/>
      <c r="Q158" s="682"/>
      <c r="R158" s="682"/>
    </row>
    <row r="159" spans="2:18" ht="25" customHeight="1">
      <c r="B159" s="137" t="s">
        <v>508</v>
      </c>
      <c r="C159" s="130"/>
      <c r="D159" s="38"/>
      <c r="E159" s="38" t="s">
        <v>125</v>
      </c>
      <c r="F159" s="792"/>
      <c r="G159" s="792"/>
      <c r="H159" s="792"/>
      <c r="I159" s="792"/>
      <c r="J159" s="794" t="s">
        <v>10</v>
      </c>
      <c r="K159" s="858">
        <f>SW_win.ser.201X_SEK</f>
        <v>78</v>
      </c>
      <c r="L159" s="756"/>
      <c r="M159" s="670"/>
      <c r="N159" s="758"/>
      <c r="O159" s="8"/>
      <c r="Q159" s="682"/>
      <c r="R159" s="682"/>
    </row>
    <row r="160" spans="2:18" ht="25" customHeight="1">
      <c r="B160" s="134" t="s">
        <v>665</v>
      </c>
      <c r="C160" s="129"/>
      <c r="D160" s="30"/>
      <c r="E160" s="30" t="s">
        <v>666</v>
      </c>
      <c r="F160" s="30"/>
      <c r="G160" s="30"/>
      <c r="H160" s="30"/>
      <c r="I160" s="30"/>
      <c r="J160" s="791" t="s">
        <v>10</v>
      </c>
      <c r="K160" s="857">
        <f>SW_win.ser.201X_SEK</f>
        <v>78</v>
      </c>
      <c r="L160" s="756"/>
      <c r="M160" s="670"/>
      <c r="N160" s="758"/>
      <c r="O160" s="8"/>
      <c r="Q160" s="682"/>
      <c r="R160" s="682"/>
    </row>
    <row r="161" spans="2:18" s="4" customFormat="1" ht="25" customHeight="1">
      <c r="B161" s="137" t="s">
        <v>509</v>
      </c>
      <c r="C161" s="130"/>
      <c r="D161" s="38"/>
      <c r="E161" s="38" t="s">
        <v>417</v>
      </c>
      <c r="F161" s="792"/>
      <c r="G161" s="792"/>
      <c r="H161" s="792"/>
      <c r="I161" s="792"/>
      <c r="J161" s="794" t="s">
        <v>10</v>
      </c>
      <c r="K161" s="858">
        <f>SW_ms.sql.ser_SEK</f>
        <v>1498</v>
      </c>
      <c r="M161" s="670"/>
      <c r="N161" s="758"/>
      <c r="O161" s="8"/>
    </row>
    <row r="162" spans="2:18" ht="25" customHeight="1">
      <c r="B162" s="134" t="s">
        <v>510</v>
      </c>
      <c r="C162" s="129"/>
      <c r="D162" s="30"/>
      <c r="E162" s="30" t="s">
        <v>131</v>
      </c>
      <c r="F162" s="30"/>
      <c r="G162" s="30"/>
      <c r="H162" s="30"/>
      <c r="I162" s="30"/>
      <c r="J162" s="791" t="s">
        <v>94</v>
      </c>
      <c r="K162" s="857" t="str">
        <f>SW_nextcloud_SEK</f>
        <v>Begär offert</v>
      </c>
      <c r="L162" s="756"/>
      <c r="M162" s="670"/>
      <c r="N162" s="758"/>
      <c r="O162" s="8"/>
      <c r="Q162" s="682"/>
      <c r="R162" s="682"/>
    </row>
    <row r="163" spans="2:18" s="4" customFormat="1" ht="25" customHeight="1">
      <c r="B163" s="137" t="s">
        <v>511</v>
      </c>
      <c r="C163" s="130"/>
      <c r="D163" s="38"/>
      <c r="E163" s="38" t="s">
        <v>133</v>
      </c>
      <c r="F163" s="792"/>
      <c r="G163" s="792"/>
      <c r="H163" s="792"/>
      <c r="I163" s="792"/>
      <c r="J163" s="794" t="s">
        <v>94</v>
      </c>
      <c r="K163" s="858" t="str">
        <f>SW_suse_SEK</f>
        <v>Begär offert</v>
      </c>
      <c r="M163" s="670"/>
      <c r="N163" s="758"/>
      <c r="O163" s="8"/>
    </row>
    <row r="164" spans="2:18" ht="25" customHeight="1">
      <c r="B164" s="134" t="s">
        <v>512</v>
      </c>
      <c r="C164" s="129"/>
      <c r="D164" s="30"/>
      <c r="E164" s="30" t="s">
        <v>135</v>
      </c>
      <c r="F164" s="30"/>
      <c r="G164" s="30"/>
      <c r="H164" s="30"/>
      <c r="I164" s="30"/>
      <c r="J164" s="791" t="s">
        <v>94</v>
      </c>
      <c r="K164" s="857" t="str">
        <f>SW_cluster.control_SEK</f>
        <v>3x instanspris</v>
      </c>
      <c r="M164" s="670"/>
      <c r="N164" s="758"/>
      <c r="O164" s="8"/>
    </row>
    <row r="165" spans="2:18" ht="25" customHeight="1">
      <c r="B165" s="137" t="s">
        <v>513</v>
      </c>
      <c r="C165" s="130"/>
      <c r="D165" s="38"/>
      <c r="E165" s="38" t="s">
        <v>137</v>
      </c>
      <c r="F165" s="792"/>
      <c r="G165" s="792"/>
      <c r="H165" s="792"/>
      <c r="I165" s="792"/>
      <c r="J165" s="794" t="s">
        <v>138</v>
      </c>
      <c r="K165" s="858">
        <f>SW_backup.ninja_SEK</f>
        <v>400</v>
      </c>
      <c r="M165" s="670"/>
      <c r="N165" s="758"/>
      <c r="O165" s="8"/>
    </row>
    <row r="166" spans="2:18" ht="25" customHeight="1">
      <c r="B166" s="106"/>
      <c r="C166" s="103"/>
      <c r="D166" s="104"/>
      <c r="E166" s="105"/>
      <c r="F166" s="798"/>
      <c r="G166" s="798"/>
      <c r="H166" s="798"/>
      <c r="I166" s="798"/>
      <c r="J166" s="799"/>
      <c r="K166" s="886"/>
      <c r="M166" s="670"/>
      <c r="N166" s="758"/>
      <c r="O166" s="8"/>
    </row>
    <row r="167" spans="2:18" ht="25" customHeight="1">
      <c r="B167" s="137"/>
      <c r="C167" s="130"/>
      <c r="D167" s="41"/>
      <c r="E167" s="31"/>
      <c r="F167" s="792"/>
      <c r="G167" s="792"/>
      <c r="H167" s="792"/>
      <c r="I167" s="792"/>
      <c r="J167" s="800"/>
      <c r="K167" s="556"/>
      <c r="M167" s="670"/>
      <c r="N167" s="758"/>
      <c r="O167" s="8"/>
    </row>
    <row r="168" spans="2:18" ht="25" customHeight="1">
      <c r="M168" s="670"/>
      <c r="N168" s="758"/>
      <c r="O168" s="8"/>
    </row>
    <row r="169" spans="2:18" ht="25" customHeight="1">
      <c r="B169" s="651" t="s">
        <v>242</v>
      </c>
      <c r="C169" s="13"/>
      <c r="D169" s="13"/>
      <c r="F169" s="13"/>
      <c r="G169" s="13"/>
      <c r="H169" s="13"/>
      <c r="I169" s="13"/>
      <c r="J169" s="13"/>
      <c r="M169" s="670"/>
      <c r="N169" s="758"/>
      <c r="O169" s="8"/>
    </row>
    <row r="170" spans="2:18" ht="25" customHeight="1">
      <c r="B170" s="630" t="s">
        <v>460</v>
      </c>
      <c r="M170" s="670"/>
    </row>
    <row r="171" spans="2:18" ht="25" customHeight="1">
      <c r="B171" s="470" t="s">
        <v>208</v>
      </c>
      <c r="C171" s="23"/>
      <c r="D171" s="23"/>
      <c r="E171" s="23" t="s">
        <v>220</v>
      </c>
      <c r="F171" s="24"/>
      <c r="G171" s="24"/>
      <c r="H171" s="24"/>
      <c r="I171" s="24"/>
      <c r="J171" s="131"/>
      <c r="K171" s="614" t="s">
        <v>211</v>
      </c>
      <c r="M171" s="670"/>
      <c r="N171" s="758"/>
      <c r="O171" s="8"/>
    </row>
    <row r="172" spans="2:18" ht="25" customHeight="1">
      <c r="B172" s="134" t="s">
        <v>499</v>
      </c>
      <c r="C172" s="129"/>
      <c r="D172" s="30"/>
      <c r="E172" s="30" t="s">
        <v>414</v>
      </c>
      <c r="F172" s="30"/>
      <c r="G172" s="30"/>
      <c r="H172" s="30"/>
      <c r="I172" s="30"/>
      <c r="J172" s="40"/>
      <c r="K172" s="898">
        <f>PAAS_man.kubernetes_SEK</f>
        <v>24000</v>
      </c>
      <c r="M172" s="670"/>
      <c r="N172" s="758"/>
      <c r="O172" s="8"/>
    </row>
    <row r="173" spans="2:18" ht="25" customHeight="1">
      <c r="B173" s="137" t="s">
        <v>514</v>
      </c>
      <c r="C173" s="130"/>
      <c r="D173" s="38"/>
      <c r="E173" s="38" t="s">
        <v>415</v>
      </c>
      <c r="F173" s="792"/>
      <c r="G173" s="792"/>
      <c r="H173" s="792"/>
      <c r="I173" s="792"/>
      <c r="J173" s="800"/>
      <c r="K173" s="858">
        <f>PAAS_man.postgres.sql_SEK</f>
        <v>15000</v>
      </c>
      <c r="M173" s="670"/>
      <c r="N173" s="758"/>
      <c r="O173" s="8"/>
    </row>
    <row r="174" spans="2:18" ht="25" customHeight="1">
      <c r="B174" s="134" t="s">
        <v>515</v>
      </c>
      <c r="C174" s="129"/>
      <c r="D174" s="30"/>
      <c r="E174" s="30" t="s">
        <v>416</v>
      </c>
      <c r="F174" s="30"/>
      <c r="G174" s="30"/>
      <c r="H174" s="30"/>
      <c r="I174" s="30"/>
      <c r="J174" s="40"/>
      <c r="K174" s="557" t="str">
        <f>PAAS_man.elasticsearch_SEK</f>
        <v>Begär offert</v>
      </c>
      <c r="M174" s="670"/>
      <c r="N174" s="758"/>
      <c r="O174" s="8"/>
    </row>
    <row r="175" spans="2:18" ht="25" customHeight="1">
      <c r="B175" s="137" t="s">
        <v>516</v>
      </c>
      <c r="C175" s="130"/>
      <c r="D175" s="38"/>
      <c r="E175" s="38" t="s">
        <v>436</v>
      </c>
      <c r="F175" s="792"/>
      <c r="G175" s="792"/>
      <c r="H175" s="792"/>
      <c r="I175" s="792"/>
      <c r="J175" s="800"/>
      <c r="K175" s="556">
        <f>PAAS_openshift_SEK</f>
        <v>0</v>
      </c>
      <c r="M175" s="670"/>
      <c r="N175" s="758"/>
      <c r="O175" s="8"/>
    </row>
    <row r="176" spans="2:18" ht="25" customHeight="1">
      <c r="B176" s="134" t="s">
        <v>517</v>
      </c>
      <c r="C176" s="129"/>
      <c r="D176" s="30"/>
      <c r="E176" s="30" t="s">
        <v>147</v>
      </c>
      <c r="F176" s="30"/>
      <c r="G176" s="30"/>
      <c r="H176" s="30"/>
      <c r="I176" s="30"/>
      <c r="J176" s="40"/>
      <c r="K176" s="557" t="str">
        <f>PAAS_man.nats_SEK</f>
        <v>Begär offert</v>
      </c>
      <c r="M176" s="670"/>
      <c r="N176" s="758"/>
      <c r="O176" s="8"/>
    </row>
    <row r="177" spans="2:20" ht="25" customHeight="1">
      <c r="B177" s="137" t="s">
        <v>518</v>
      </c>
      <c r="C177" s="130"/>
      <c r="D177" s="38"/>
      <c r="E177" s="38" t="s">
        <v>150</v>
      </c>
      <c r="F177" s="792"/>
      <c r="G177" s="792"/>
      <c r="H177" s="792"/>
      <c r="I177" s="792"/>
      <c r="J177" s="800"/>
      <c r="K177" s="556" t="str">
        <f>PAAS_man.mariadb_SEK</f>
        <v>Begär offert</v>
      </c>
      <c r="M177" s="670"/>
      <c r="N177" s="758"/>
      <c r="O177" s="8"/>
    </row>
    <row r="178" spans="2:20" ht="25" customHeight="1">
      <c r="B178" s="134" t="s">
        <v>451</v>
      </c>
      <c r="C178" s="129"/>
      <c r="D178" s="30"/>
      <c r="E178" s="30" t="s">
        <v>144</v>
      </c>
      <c r="F178" s="30"/>
      <c r="G178" s="30"/>
      <c r="H178" s="30"/>
      <c r="I178" s="30"/>
      <c r="J178" s="40"/>
      <c r="K178" s="557" t="s">
        <v>248</v>
      </c>
      <c r="M178" s="670"/>
      <c r="N178" s="758"/>
      <c r="O178" s="8"/>
    </row>
    <row r="179" spans="2:20" ht="25" customHeight="1">
      <c r="B179" s="106"/>
      <c r="C179" s="103"/>
      <c r="D179" s="397"/>
      <c r="E179" s="105"/>
      <c r="F179" s="798"/>
      <c r="G179" s="798"/>
      <c r="H179" s="798"/>
      <c r="I179" s="798"/>
      <c r="J179" s="799"/>
      <c r="K179" s="886"/>
      <c r="M179" s="670"/>
      <c r="N179" s="758"/>
      <c r="O179" s="8"/>
    </row>
    <row r="180" spans="2:20" ht="25" customHeight="1">
      <c r="B180" s="137"/>
      <c r="C180" s="130"/>
      <c r="D180" s="38"/>
      <c r="E180" s="31"/>
      <c r="F180" s="792"/>
      <c r="G180" s="800"/>
      <c r="H180" s="794"/>
      <c r="I180" s="441"/>
      <c r="M180" s="670"/>
    </row>
    <row r="181" spans="2:20" ht="25" customHeight="1">
      <c r="B181" s="417"/>
      <c r="C181" s="26"/>
      <c r="D181" s="26"/>
      <c r="E181" s="26"/>
      <c r="F181" s="777"/>
      <c r="G181" s="778"/>
      <c r="H181" s="26"/>
      <c r="I181" s="756"/>
      <c r="J181" s="756"/>
      <c r="K181" s="875"/>
      <c r="L181" s="758"/>
      <c r="M181" s="670"/>
      <c r="N181" s="682"/>
      <c r="O181" s="682"/>
    </row>
    <row r="182" spans="2:20" s="4" customFormat="1" ht="25" customHeight="1">
      <c r="B182" s="967" t="s">
        <v>244</v>
      </c>
      <c r="C182" s="967"/>
      <c r="D182" s="967"/>
      <c r="E182" s="967"/>
      <c r="F182" s="967"/>
      <c r="G182" s="967"/>
      <c r="H182" s="801"/>
      <c r="J182" s="681"/>
      <c r="K182" s="862"/>
      <c r="M182" s="670"/>
    </row>
    <row r="183" spans="2:20" s="4" customFormat="1" ht="25" customHeight="1">
      <c r="B183" s="967"/>
      <c r="C183" s="967"/>
      <c r="D183" s="967"/>
      <c r="E183" s="967"/>
      <c r="F183" s="967"/>
      <c r="G183" s="967"/>
      <c r="H183" s="801"/>
      <c r="J183" s="681"/>
      <c r="K183" s="862"/>
      <c r="M183" s="670"/>
    </row>
    <row r="184" spans="2:20" s="4" customFormat="1" ht="25" customHeight="1">
      <c r="B184" s="967"/>
      <c r="C184" s="967"/>
      <c r="D184" s="967"/>
      <c r="E184" s="967"/>
      <c r="F184" s="967"/>
      <c r="G184" s="967"/>
      <c r="H184" s="801"/>
      <c r="J184" s="681"/>
      <c r="K184" s="862"/>
      <c r="M184" s="670"/>
    </row>
    <row r="185" spans="2:20" s="4" customFormat="1" ht="25" customHeight="1">
      <c r="B185" s="988" t="s">
        <v>546</v>
      </c>
      <c r="C185" s="988"/>
      <c r="D185" s="988"/>
      <c r="E185" s="988"/>
      <c r="F185" s="988"/>
      <c r="H185" s="801"/>
      <c r="J185" s="681"/>
      <c r="K185" s="862"/>
      <c r="M185" s="670"/>
    </row>
    <row r="186" spans="2:20" s="4" customFormat="1" ht="25" customHeight="1">
      <c r="B186" s="983" t="s">
        <v>420</v>
      </c>
      <c r="C186" s="983"/>
      <c r="D186" s="983"/>
      <c r="E186" s="983"/>
      <c r="F186" s="983"/>
      <c r="G186" s="684"/>
      <c r="H186" s="685"/>
      <c r="I186" s="684"/>
      <c r="J186" s="686"/>
      <c r="K186" s="863"/>
      <c r="L186" s="684"/>
      <c r="M186" s="670"/>
    </row>
    <row r="187" spans="2:20" s="4" customFormat="1" ht="25" customHeight="1">
      <c r="B187" s="465"/>
      <c r="C187" s="133"/>
      <c r="D187" s="133"/>
      <c r="E187" s="133"/>
      <c r="F187" s="133"/>
      <c r="G187" s="684"/>
      <c r="H187" s="685"/>
      <c r="I187" s="684"/>
      <c r="J187" s="686"/>
      <c r="K187" s="863"/>
      <c r="L187" s="684"/>
      <c r="M187" s="670"/>
    </row>
    <row r="188" spans="2:20" ht="25" customHeight="1">
      <c r="B188" s="651" t="s">
        <v>152</v>
      </c>
      <c r="C188" s="13"/>
      <c r="D188" s="13"/>
      <c r="F188" s="13"/>
      <c r="G188" s="13"/>
      <c r="H188" s="13"/>
      <c r="I188" s="13"/>
      <c r="J188" s="13"/>
      <c r="K188" s="887"/>
      <c r="L188" s="13"/>
      <c r="M188" s="670"/>
      <c r="O188" s="758"/>
      <c r="P188" s="758"/>
      <c r="Q188" s="8"/>
      <c r="S188" s="682"/>
      <c r="T188" s="682"/>
    </row>
    <row r="189" spans="2:20" ht="25" customHeight="1">
      <c r="B189" s="630" t="s">
        <v>542</v>
      </c>
      <c r="M189" s="670"/>
    </row>
    <row r="190" spans="2:20" ht="25" customHeight="1">
      <c r="B190" s="470" t="s">
        <v>208</v>
      </c>
      <c r="C190" s="23"/>
      <c r="D190" s="23" t="s">
        <v>220</v>
      </c>
      <c r="E190" s="132"/>
      <c r="F190" s="24"/>
      <c r="G190" s="131"/>
      <c r="H190" s="131"/>
      <c r="I190" s="23" t="s">
        <v>236</v>
      </c>
      <c r="J190" s="23"/>
      <c r="K190" s="614" t="s">
        <v>92</v>
      </c>
      <c r="L190" s="756"/>
      <c r="M190" s="670"/>
      <c r="N190" s="758"/>
      <c r="O190" s="8"/>
      <c r="Q190" s="682"/>
      <c r="R190" s="682"/>
    </row>
    <row r="191" spans="2:20" ht="25" customHeight="1">
      <c r="B191" s="134" t="s">
        <v>519</v>
      </c>
      <c r="C191" s="129"/>
      <c r="D191" s="30" t="s">
        <v>421</v>
      </c>
      <c r="E191" s="40"/>
      <c r="F191" s="30"/>
      <c r="G191" s="40"/>
      <c r="H191" s="40"/>
      <c r="I191" s="796" t="s">
        <v>94</v>
      </c>
      <c r="J191" s="796"/>
      <c r="K191" s="557">
        <v>0</v>
      </c>
      <c r="L191" s="756"/>
      <c r="M191" s="670"/>
      <c r="N191" s="758"/>
      <c r="O191" s="8"/>
      <c r="Q191" s="682"/>
      <c r="R191" s="682"/>
    </row>
    <row r="192" spans="2:20" ht="25" customHeight="1">
      <c r="B192" s="137" t="s">
        <v>520</v>
      </c>
      <c r="C192" s="130"/>
      <c r="D192" s="38" t="s">
        <v>156</v>
      </c>
      <c r="E192" s="31"/>
      <c r="F192" s="792"/>
      <c r="G192" s="800"/>
      <c r="H192" s="800"/>
      <c r="I192" s="794" t="s">
        <v>245</v>
      </c>
      <c r="J192" s="794"/>
      <c r="K192" s="556" t="s">
        <v>537</v>
      </c>
      <c r="L192" s="756"/>
      <c r="M192" s="670"/>
      <c r="N192" s="758"/>
      <c r="O192" s="8"/>
      <c r="Q192" s="682"/>
      <c r="R192" s="682"/>
    </row>
    <row r="193" spans="2:18" ht="25" customHeight="1">
      <c r="B193" s="134" t="s">
        <v>521</v>
      </c>
      <c r="C193" s="129"/>
      <c r="D193" s="30" t="s">
        <v>160</v>
      </c>
      <c r="E193" s="129"/>
      <c r="F193" s="129"/>
      <c r="G193" s="129"/>
      <c r="H193" s="40"/>
      <c r="I193" s="791" t="s">
        <v>247</v>
      </c>
      <c r="J193" s="791"/>
      <c r="K193" s="557" t="s">
        <v>248</v>
      </c>
      <c r="L193" s="756"/>
      <c r="M193" s="670"/>
      <c r="N193" s="758"/>
      <c r="O193" s="8"/>
      <c r="Q193" s="682"/>
      <c r="R193" s="682"/>
    </row>
    <row r="194" spans="2:18" ht="25" customHeight="1">
      <c r="B194" s="106"/>
      <c r="C194" s="103"/>
      <c r="D194" s="103"/>
      <c r="E194" s="105"/>
      <c r="F194" s="798"/>
      <c r="G194" s="799"/>
      <c r="H194" s="799"/>
      <c r="I194" s="802"/>
      <c r="J194" s="802"/>
      <c r="K194" s="886"/>
      <c r="L194" s="756"/>
      <c r="M194" s="670"/>
      <c r="N194" s="758"/>
      <c r="O194" s="8"/>
      <c r="Q194" s="682"/>
      <c r="R194" s="682"/>
    </row>
    <row r="195" spans="2:18" ht="25" customHeight="1">
      <c r="B195" s="137"/>
      <c r="C195" s="130"/>
      <c r="D195" s="38"/>
      <c r="E195" s="31"/>
      <c r="F195" s="792"/>
      <c r="G195" s="800"/>
      <c r="H195" s="800"/>
      <c r="I195" s="794"/>
      <c r="J195" s="794"/>
      <c r="K195" s="556"/>
      <c r="L195" s="756"/>
      <c r="M195" s="670"/>
      <c r="N195" s="758"/>
      <c r="O195" s="8"/>
      <c r="Q195" s="682"/>
      <c r="R195" s="682"/>
    </row>
    <row r="196" spans="2:18" s="653" customFormat="1" ht="25" customHeight="1">
      <c r="B196" s="651" t="s">
        <v>250</v>
      </c>
      <c r="C196" s="909"/>
      <c r="D196" s="909"/>
      <c r="F196" s="909"/>
      <c r="G196" s="909"/>
      <c r="H196" s="909"/>
      <c r="I196" s="910"/>
      <c r="J196" s="910"/>
      <c r="K196" s="715"/>
      <c r="L196" s="911"/>
      <c r="M196" s="670"/>
      <c r="N196" s="913"/>
      <c r="O196" s="914"/>
      <c r="Q196" s="914"/>
      <c r="R196" s="914"/>
    </row>
    <row r="197" spans="2:18" ht="25" customHeight="1">
      <c r="B197" s="630" t="s">
        <v>543</v>
      </c>
      <c r="M197" s="670"/>
    </row>
    <row r="198" spans="2:18" ht="25" customHeight="1">
      <c r="B198" s="470" t="s">
        <v>208</v>
      </c>
      <c r="C198" s="23"/>
      <c r="D198" s="23" t="s">
        <v>220</v>
      </c>
      <c r="E198" s="132"/>
      <c r="F198" s="24"/>
      <c r="G198" s="131"/>
      <c r="H198" s="131"/>
      <c r="I198" s="23" t="s">
        <v>236</v>
      </c>
      <c r="J198" s="23"/>
      <c r="K198" s="614" t="s">
        <v>92</v>
      </c>
      <c r="L198" s="756"/>
      <c r="M198" s="670"/>
      <c r="N198" s="758"/>
      <c r="O198" s="8"/>
      <c r="Q198" s="682"/>
      <c r="R198" s="682"/>
    </row>
    <row r="199" spans="2:18" ht="25" customHeight="1">
      <c r="B199" s="134" t="s">
        <v>522</v>
      </c>
      <c r="C199" s="129"/>
      <c r="D199" s="30" t="s">
        <v>166</v>
      </c>
      <c r="E199" s="40"/>
      <c r="F199" s="30"/>
      <c r="G199" s="40"/>
      <c r="H199" s="40"/>
      <c r="I199" s="791" t="s">
        <v>247</v>
      </c>
      <c r="J199" s="791"/>
      <c r="K199" s="631">
        <f>PS_consult.jun_SEK</f>
        <v>1127</v>
      </c>
      <c r="L199" s="756"/>
      <c r="M199" s="670"/>
      <c r="N199" s="758"/>
      <c r="O199" s="8"/>
      <c r="Q199" s="682"/>
      <c r="R199" s="682"/>
    </row>
    <row r="200" spans="2:18" ht="25" customHeight="1">
      <c r="B200" s="137" t="s">
        <v>523</v>
      </c>
      <c r="C200" s="130"/>
      <c r="D200" s="38" t="s">
        <v>168</v>
      </c>
      <c r="E200" s="31"/>
      <c r="F200" s="792"/>
      <c r="G200" s="800"/>
      <c r="H200" s="800"/>
      <c r="I200" s="794" t="s">
        <v>247</v>
      </c>
      <c r="J200" s="794"/>
      <c r="K200" s="897">
        <f>PS_consult.sen_SEK</f>
        <v>1374</v>
      </c>
      <c r="L200" s="756"/>
      <c r="M200" s="670"/>
      <c r="N200" s="758"/>
      <c r="O200" s="8"/>
      <c r="Q200" s="682"/>
      <c r="R200" s="682"/>
    </row>
    <row r="201" spans="2:18" ht="25" customHeight="1">
      <c r="B201" s="134" t="s">
        <v>524</v>
      </c>
      <c r="C201" s="129"/>
      <c r="D201" s="30" t="s">
        <v>170</v>
      </c>
      <c r="E201" s="40"/>
      <c r="F201" s="30"/>
      <c r="G201" s="40"/>
      <c r="H201" s="40"/>
      <c r="I201" s="791" t="s">
        <v>247</v>
      </c>
      <c r="J201" s="791"/>
      <c r="K201" s="631">
        <f>PS_cloudarch.jun_SEK</f>
        <v>1277</v>
      </c>
      <c r="L201" s="756"/>
      <c r="M201" s="670"/>
      <c r="N201" s="758"/>
      <c r="O201" s="8"/>
      <c r="Q201" s="682"/>
      <c r="R201" s="682"/>
    </row>
    <row r="202" spans="2:18" ht="25" customHeight="1">
      <c r="B202" s="137" t="s">
        <v>525</v>
      </c>
      <c r="C202" s="130"/>
      <c r="D202" s="38" t="s">
        <v>172</v>
      </c>
      <c r="E202" s="38"/>
      <c r="F202" s="38"/>
      <c r="G202" s="800"/>
      <c r="H202" s="800"/>
      <c r="I202" s="794" t="s">
        <v>247</v>
      </c>
      <c r="J202" s="794"/>
      <c r="K202" s="897">
        <f>PS_cloudarch.sen_SEK</f>
        <v>1374</v>
      </c>
      <c r="L202" s="756"/>
      <c r="M202" s="670"/>
      <c r="N202" s="758"/>
      <c r="O202" s="8"/>
      <c r="Q202" s="682"/>
      <c r="R202" s="682"/>
    </row>
    <row r="203" spans="2:18" ht="25" customHeight="1">
      <c r="B203" s="134" t="s">
        <v>526</v>
      </c>
      <c r="C203" s="129"/>
      <c r="D203" s="30" t="s">
        <v>174</v>
      </c>
      <c r="E203" s="40"/>
      <c r="F203" s="30"/>
      <c r="G203" s="40"/>
      <c r="H203" s="40"/>
      <c r="I203" s="791" t="s">
        <v>247</v>
      </c>
      <c r="J203" s="791"/>
      <c r="K203" s="631">
        <f>PS_pm.jun_SEK</f>
        <v>1139</v>
      </c>
      <c r="L203" s="756"/>
      <c r="M203" s="670"/>
      <c r="N203" s="758"/>
      <c r="O203" s="8"/>
      <c r="Q203" s="682"/>
      <c r="R203" s="682"/>
    </row>
    <row r="204" spans="2:18" ht="25" customHeight="1">
      <c r="B204" s="137" t="s">
        <v>527</v>
      </c>
      <c r="C204" s="130"/>
      <c r="D204" s="38" t="s">
        <v>176</v>
      </c>
      <c r="E204" s="31"/>
      <c r="F204" s="792"/>
      <c r="G204" s="800"/>
      <c r="H204" s="800"/>
      <c r="I204" s="794" t="s">
        <v>247</v>
      </c>
      <c r="J204" s="794"/>
      <c r="K204" s="897">
        <f>PS_pm.sen_SEK</f>
        <v>1374</v>
      </c>
      <c r="L204" s="756"/>
      <c r="M204" s="670"/>
      <c r="N204" s="758"/>
      <c r="O204" s="8"/>
      <c r="Q204" s="682"/>
      <c r="R204" s="682"/>
    </row>
    <row r="205" spans="2:18" ht="25" customHeight="1">
      <c r="B205" s="106"/>
      <c r="C205" s="103"/>
      <c r="D205" s="397"/>
      <c r="E205" s="105"/>
      <c r="F205" s="798"/>
      <c r="G205" s="799"/>
      <c r="H205" s="799"/>
      <c r="I205" s="802"/>
      <c r="J205" s="802"/>
      <c r="K205" s="886"/>
      <c r="L205" s="756"/>
      <c r="M205" s="670"/>
      <c r="N205" s="758"/>
      <c r="O205" s="8"/>
      <c r="Q205" s="682"/>
      <c r="R205" s="682"/>
    </row>
    <row r="206" spans="2:18" ht="25" customHeight="1">
      <c r="B206" s="137"/>
      <c r="C206" s="130"/>
      <c r="D206" s="38"/>
      <c r="E206" s="31"/>
      <c r="F206" s="792"/>
      <c r="G206" s="800"/>
      <c r="H206" s="800"/>
      <c r="I206" s="794"/>
      <c r="J206" s="794"/>
      <c r="K206" s="556"/>
      <c r="M206" s="670"/>
      <c r="N206" s="758"/>
      <c r="O206" s="8"/>
    </row>
    <row r="207" spans="2:18" ht="25" customHeight="1">
      <c r="B207" s="651" t="s">
        <v>251</v>
      </c>
      <c r="C207" s="13"/>
      <c r="D207" s="13"/>
      <c r="F207" s="13"/>
      <c r="G207" s="13"/>
      <c r="H207" s="13"/>
      <c r="I207" s="797"/>
      <c r="J207" s="797"/>
      <c r="L207" s="756"/>
      <c r="M207" s="670"/>
      <c r="N207" s="758"/>
      <c r="O207" s="8"/>
      <c r="Q207" s="682"/>
      <c r="R207" s="682"/>
    </row>
    <row r="208" spans="2:18" ht="25" customHeight="1">
      <c r="B208" s="630" t="s">
        <v>544</v>
      </c>
      <c r="M208" s="670"/>
    </row>
    <row r="209" spans="1:18" ht="25" customHeight="1">
      <c r="B209" s="470" t="s">
        <v>208</v>
      </c>
      <c r="C209" s="23"/>
      <c r="D209" s="23" t="s">
        <v>220</v>
      </c>
      <c r="E209" s="132"/>
      <c r="F209" s="24"/>
      <c r="G209" s="23" t="s">
        <v>252</v>
      </c>
      <c r="H209" s="23"/>
      <c r="I209" s="23" t="s">
        <v>236</v>
      </c>
      <c r="J209" s="23"/>
      <c r="K209" s="614" t="s">
        <v>92</v>
      </c>
      <c r="L209" s="756"/>
      <c r="M209" s="670"/>
      <c r="N209" s="758"/>
      <c r="O209" s="8"/>
      <c r="Q209" s="682"/>
      <c r="R209" s="682"/>
    </row>
    <row r="210" spans="1:18" ht="25" customHeight="1">
      <c r="B210" s="134" t="s">
        <v>528</v>
      </c>
      <c r="C210" s="129"/>
      <c r="D210" s="30" t="s">
        <v>253</v>
      </c>
      <c r="E210" s="40"/>
      <c r="F210" s="30"/>
      <c r="G210" s="791" t="s">
        <v>254</v>
      </c>
      <c r="H210" s="791"/>
      <c r="I210" s="791" t="s">
        <v>255</v>
      </c>
      <c r="J210" s="791"/>
      <c r="K210" s="557" t="s">
        <v>248</v>
      </c>
      <c r="L210" s="756"/>
      <c r="M210" s="670"/>
      <c r="N210" s="758"/>
      <c r="O210" s="8"/>
      <c r="Q210" s="682"/>
      <c r="R210" s="682"/>
    </row>
    <row r="211" spans="1:18" ht="25" customHeight="1">
      <c r="B211" s="137" t="s">
        <v>529</v>
      </c>
      <c r="C211" s="130"/>
      <c r="D211" s="38" t="s">
        <v>256</v>
      </c>
      <c r="E211" s="31"/>
      <c r="F211" s="792"/>
      <c r="G211" s="794" t="s">
        <v>254</v>
      </c>
      <c r="H211" s="794"/>
      <c r="I211" s="794" t="s">
        <v>255</v>
      </c>
      <c r="J211" s="794"/>
      <c r="K211" s="556" t="s">
        <v>248</v>
      </c>
      <c r="L211" s="756"/>
      <c r="M211" s="670"/>
      <c r="N211" s="758"/>
      <c r="O211" s="8"/>
      <c r="Q211" s="682"/>
      <c r="R211" s="682"/>
    </row>
    <row r="212" spans="1:18" ht="25" customHeight="1">
      <c r="B212" s="134" t="s">
        <v>530</v>
      </c>
      <c r="C212" s="129"/>
      <c r="D212" s="30" t="s">
        <v>257</v>
      </c>
      <c r="E212" s="40"/>
      <c r="F212" s="30"/>
      <c r="G212" s="791" t="s">
        <v>258</v>
      </c>
      <c r="H212" s="791"/>
      <c r="I212" s="791" t="s">
        <v>255</v>
      </c>
      <c r="J212" s="791"/>
      <c r="K212" s="557" t="s">
        <v>248</v>
      </c>
      <c r="L212" s="756"/>
      <c r="M212" s="670"/>
      <c r="N212" s="758"/>
      <c r="O212" s="8"/>
      <c r="Q212" s="682"/>
      <c r="R212" s="682"/>
    </row>
    <row r="213" spans="1:18" ht="25" customHeight="1">
      <c r="B213" s="137" t="s">
        <v>531</v>
      </c>
      <c r="C213" s="130"/>
      <c r="D213" s="38" t="s">
        <v>259</v>
      </c>
      <c r="E213" s="31"/>
      <c r="F213" s="792"/>
      <c r="G213" s="794" t="s">
        <v>258</v>
      </c>
      <c r="H213" s="794"/>
      <c r="I213" s="794" t="s">
        <v>255</v>
      </c>
      <c r="J213" s="794"/>
      <c r="K213" s="556" t="s">
        <v>248</v>
      </c>
      <c r="L213" s="756"/>
      <c r="M213" s="670"/>
      <c r="N213" s="758"/>
      <c r="O213" s="8"/>
      <c r="Q213" s="682"/>
      <c r="R213" s="682"/>
    </row>
    <row r="214" spans="1:18" ht="25" customHeight="1">
      <c r="B214" s="106"/>
      <c r="C214" s="103"/>
      <c r="D214" s="397"/>
      <c r="E214" s="105"/>
      <c r="F214" s="798"/>
      <c r="G214" s="799"/>
      <c r="H214" s="799"/>
      <c r="I214" s="799"/>
      <c r="J214" s="799"/>
      <c r="K214" s="886"/>
      <c r="L214" s="756"/>
      <c r="M214" s="670"/>
      <c r="N214" s="758"/>
      <c r="O214" s="8"/>
      <c r="Q214" s="682"/>
      <c r="R214" s="682"/>
    </row>
    <row r="215" spans="1:18" ht="25" customHeight="1">
      <c r="B215" s="417"/>
      <c r="C215" s="26"/>
      <c r="D215" s="26"/>
      <c r="E215" s="26"/>
      <c r="F215" s="777"/>
      <c r="G215" s="778"/>
      <c r="H215" s="756"/>
      <c r="I215" s="756"/>
      <c r="J215" s="756"/>
      <c r="K215" s="876"/>
      <c r="L215" s="758"/>
      <c r="M215" s="670"/>
      <c r="N215" s="682"/>
      <c r="O215" s="682"/>
    </row>
    <row r="216" spans="1:18" ht="25" customHeight="1">
      <c r="A216" s="788"/>
      <c r="B216" s="642"/>
      <c r="C216" s="60"/>
      <c r="D216" s="60"/>
      <c r="E216" s="60"/>
      <c r="F216" s="803"/>
      <c r="G216" s="804"/>
      <c r="H216" s="805"/>
      <c r="I216" s="806"/>
      <c r="J216" s="807"/>
      <c r="K216" s="888"/>
      <c r="L216" s="808"/>
      <c r="M216" s="670"/>
      <c r="N216" s="682"/>
      <c r="O216" s="682"/>
    </row>
    <row r="217" spans="1:18" s="4" customFormat="1" ht="25" customHeight="1">
      <c r="A217" s="3"/>
      <c r="B217" s="643"/>
      <c r="C217" s="54"/>
      <c r="D217" s="54"/>
      <c r="E217" s="54"/>
      <c r="F217" s="809"/>
      <c r="G217" s="810"/>
      <c r="H217" s="811"/>
      <c r="I217" s="812"/>
      <c r="J217" s="813"/>
      <c r="K217" s="889"/>
      <c r="L217" s="3"/>
      <c r="M217" s="670"/>
    </row>
    <row r="218" spans="1:18" s="4" customFormat="1" ht="25" customHeight="1">
      <c r="A218" s="3"/>
      <c r="B218" s="643"/>
      <c r="C218" s="54"/>
      <c r="D218" s="54"/>
      <c r="E218" s="54"/>
      <c r="F218" s="809"/>
      <c r="G218" s="810"/>
      <c r="H218" s="811"/>
      <c r="I218" s="812"/>
      <c r="J218" s="813"/>
      <c r="K218" s="889"/>
      <c r="L218" s="3"/>
      <c r="M218" s="670"/>
    </row>
    <row r="219" spans="1:18" s="4" customFormat="1" ht="25" customHeight="1">
      <c r="A219" s="3"/>
      <c r="B219" s="643"/>
      <c r="C219" s="54"/>
      <c r="D219" s="54"/>
      <c r="E219" s="54"/>
      <c r="F219" s="809"/>
      <c r="G219" s="810"/>
      <c r="H219" s="811"/>
      <c r="I219" s="812"/>
      <c r="J219" s="813"/>
      <c r="K219" s="889"/>
      <c r="L219" s="3"/>
      <c r="M219" s="670"/>
    </row>
    <row r="220" spans="1:18" s="4" customFormat="1" ht="25" customHeight="1">
      <c r="A220" s="3"/>
      <c r="B220" s="986" t="s">
        <v>260</v>
      </c>
      <c r="C220" s="986"/>
      <c r="D220" s="986"/>
      <c r="E220" s="986"/>
      <c r="F220" s="986"/>
      <c r="G220" s="986"/>
      <c r="H220" s="672"/>
      <c r="I220" s="814"/>
      <c r="J220" s="3"/>
      <c r="K220" s="860"/>
      <c r="L220" s="3"/>
      <c r="M220" s="670"/>
    </row>
    <row r="221" spans="1:18" s="4" customFormat="1" ht="25" customHeight="1">
      <c r="A221" s="3"/>
      <c r="B221" s="986"/>
      <c r="C221" s="986"/>
      <c r="D221" s="986"/>
      <c r="E221" s="986"/>
      <c r="F221" s="986"/>
      <c r="G221" s="986"/>
      <c r="H221" s="672"/>
      <c r="I221" s="814"/>
      <c r="J221" s="3"/>
      <c r="K221" s="860"/>
      <c r="L221" s="3"/>
      <c r="M221" s="670"/>
    </row>
    <row r="222" spans="1:18" s="4" customFormat="1" ht="25" customHeight="1">
      <c r="A222" s="3"/>
      <c r="B222" s="986"/>
      <c r="C222" s="986"/>
      <c r="D222" s="986"/>
      <c r="E222" s="986"/>
      <c r="F222" s="986"/>
      <c r="G222" s="986"/>
      <c r="H222" s="672"/>
      <c r="I222" s="814"/>
      <c r="J222" s="3"/>
      <c r="K222" s="860"/>
      <c r="L222" s="3"/>
      <c r="M222" s="670"/>
    </row>
    <row r="223" spans="1:18" s="4" customFormat="1" ht="25" customHeight="1">
      <c r="A223" s="3"/>
      <c r="B223" s="987" t="s">
        <v>420</v>
      </c>
      <c r="C223" s="987"/>
      <c r="D223" s="987"/>
      <c r="E223" s="987"/>
      <c r="F223" s="987"/>
      <c r="G223" s="3"/>
      <c r="H223" s="672"/>
      <c r="I223" s="814"/>
      <c r="J223" s="3"/>
      <c r="K223" s="860"/>
      <c r="L223" s="815"/>
      <c r="M223" s="670"/>
    </row>
    <row r="224" spans="1:18" s="4" customFormat="1" ht="25" customHeight="1">
      <c r="A224" s="3"/>
      <c r="B224" s="636"/>
      <c r="C224" s="62"/>
      <c r="D224" s="62"/>
      <c r="E224" s="62"/>
      <c r="F224" s="62"/>
      <c r="G224" s="3"/>
      <c r="H224" s="672"/>
      <c r="I224" s="814"/>
      <c r="J224" s="3"/>
      <c r="K224" s="860"/>
      <c r="L224" s="815"/>
      <c r="M224" s="670"/>
    </row>
    <row r="225" spans="1:20" s="4" customFormat="1" ht="25" customHeight="1">
      <c r="A225" s="3"/>
      <c r="B225" s="422" t="s">
        <v>532</v>
      </c>
      <c r="C225" s="62"/>
      <c r="D225" s="62"/>
      <c r="E225" s="62"/>
      <c r="F225" s="62"/>
      <c r="G225" s="3"/>
      <c r="H225" s="672"/>
      <c r="I225" s="814"/>
      <c r="J225" s="3"/>
      <c r="K225" s="860"/>
      <c r="L225" s="815"/>
      <c r="M225" s="670"/>
    </row>
    <row r="226" spans="1:20" s="4" customFormat="1" ht="25" customHeight="1">
      <c r="A226" s="3"/>
      <c r="B226" s="418" t="s">
        <v>202</v>
      </c>
      <c r="C226" s="62"/>
      <c r="D226" s="62"/>
      <c r="E226" s="62"/>
      <c r="F226" s="62"/>
      <c r="G226" s="3"/>
      <c r="H226" s="672"/>
      <c r="I226" s="3"/>
      <c r="J226" s="673"/>
      <c r="K226" s="860"/>
      <c r="L226" s="815"/>
      <c r="M226" s="670"/>
    </row>
    <row r="227" spans="1:20" s="4" customFormat="1" ht="25" customHeight="1">
      <c r="A227" s="3"/>
      <c r="B227" s="964" t="s">
        <v>3</v>
      </c>
      <c r="C227" s="67"/>
      <c r="D227" s="67"/>
      <c r="E227" s="67"/>
      <c r="F227" s="67"/>
      <c r="G227" s="815"/>
      <c r="H227" s="816"/>
      <c r="I227" s="815"/>
      <c r="J227" s="817"/>
      <c r="K227" s="890"/>
      <c r="L227" s="815"/>
      <c r="M227" s="670"/>
    </row>
    <row r="228" spans="1:20" s="728" customFormat="1" ht="25" customHeight="1">
      <c r="A228" s="818"/>
      <c r="B228" s="915"/>
      <c r="C228" s="135"/>
      <c r="D228" s="135"/>
      <c r="E228" s="135"/>
      <c r="F228" s="135"/>
      <c r="G228" s="815"/>
      <c r="H228" s="816"/>
      <c r="I228" s="815"/>
      <c r="J228" s="817"/>
      <c r="K228" s="890"/>
      <c r="L228" s="818"/>
      <c r="M228" s="670"/>
      <c r="N228" s="819"/>
      <c r="O228" s="745"/>
      <c r="P228" s="745"/>
      <c r="Q228" s="745"/>
      <c r="R228" s="745"/>
      <c r="S228" s="745"/>
      <c r="T228" s="745"/>
    </row>
    <row r="229" spans="1:20" ht="25" customHeight="1">
      <c r="A229" s="2"/>
      <c r="B229" s="644" t="s">
        <v>533</v>
      </c>
      <c r="C229" s="56"/>
      <c r="D229" s="57"/>
      <c r="E229" s="56"/>
      <c r="F229" s="665"/>
      <c r="G229" s="665"/>
      <c r="H229" s="665"/>
      <c r="I229" s="56"/>
      <c r="J229" s="665" t="s">
        <v>260</v>
      </c>
      <c r="K229" s="891"/>
      <c r="L229" s="820"/>
      <c r="M229" s="670"/>
      <c r="N229" s="28"/>
    </row>
    <row r="230" spans="1:20" ht="25" customHeight="1">
      <c r="A230" s="2"/>
      <c r="B230" s="854" t="s">
        <v>4</v>
      </c>
      <c r="C230" s="661" t="str" cm="1">
        <f t="array" ref="C230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0" s="71"/>
      <c r="E230" s="661"/>
      <c r="F230" s="661"/>
      <c r="G230" s="662"/>
      <c r="H230" s="821"/>
      <c r="I230" s="822"/>
      <c r="J230" s="666">
        <f>K64+K73+K55+K38+K82</f>
        <v>0</v>
      </c>
      <c r="K230" s="857"/>
      <c r="L230" s="2"/>
      <c r="M230" s="670"/>
      <c r="N230" s="28"/>
    </row>
    <row r="231" spans="1:20" ht="25" customHeight="1">
      <c r="A231" s="2"/>
      <c r="B231" s="493" t="s">
        <v>72</v>
      </c>
      <c r="C231" s="612" t="str">
        <f>K94&amp;" TB - Storage"&amp;"     /     "&amp;K93&amp;" TB - Archive"</f>
        <v>0 TB - Storage     /     0 TB - Archive</v>
      </c>
      <c r="D231" s="663"/>
      <c r="E231" s="663"/>
      <c r="F231" s="823"/>
      <c r="G231" s="824"/>
      <c r="H231" s="824"/>
      <c r="I231" s="825"/>
      <c r="J231" s="667">
        <f>K95</f>
        <v>0</v>
      </c>
      <c r="K231" s="857"/>
      <c r="L231" s="2"/>
      <c r="M231" s="670"/>
      <c r="N231" s="28"/>
    </row>
    <row r="232" spans="1:20" ht="25" customHeight="1">
      <c r="A232" s="2"/>
      <c r="B232" s="493" t="s">
        <v>86</v>
      </c>
      <c r="C232" s="136"/>
      <c r="D232" s="72"/>
      <c r="E232" s="73"/>
      <c r="F232" s="823"/>
      <c r="G232" s="824"/>
      <c r="H232" s="824"/>
      <c r="I232" s="825"/>
      <c r="J232" s="667">
        <f>K119</f>
        <v>0</v>
      </c>
      <c r="K232" s="857"/>
      <c r="L232" s="2"/>
      <c r="M232" s="670"/>
      <c r="N232" s="28"/>
    </row>
    <row r="233" spans="1:20" s="829" customFormat="1" ht="25" customHeight="1">
      <c r="A233" s="826"/>
      <c r="B233" s="466" t="s">
        <v>442</v>
      </c>
      <c r="C233" s="656" t="str">
        <f>IF(J131=1,"Fullt managerad tjänst - support vardagar 08:00-17:00",IF(J131=3,"Fullt managerad tjänst - support dygnet runt, alla dagar",""))</f>
        <v/>
      </c>
      <c r="D233" s="33"/>
      <c r="E233" s="34"/>
      <c r="F233" s="35"/>
      <c r="G233" s="827"/>
      <c r="H233" s="827"/>
      <c r="I233" s="774"/>
      <c r="J233" s="437">
        <f>K133</f>
        <v>0</v>
      </c>
      <c r="K233" s="857"/>
      <c r="L233" s="826"/>
      <c r="M233" s="670"/>
    </row>
    <row r="234" spans="1:20" s="835" customFormat="1" ht="25" customHeight="1">
      <c r="A234" s="830"/>
      <c r="B234" s="664" t="s">
        <v>222</v>
      </c>
      <c r="C234" s="659"/>
      <c r="D234" s="660"/>
      <c r="E234" s="660"/>
      <c r="F234" s="831"/>
      <c r="G234" s="832"/>
      <c r="H234" s="832"/>
      <c r="I234" s="833"/>
      <c r="J234" s="668">
        <f>SUM(J230:J233)</f>
        <v>0</v>
      </c>
      <c r="K234" s="892"/>
      <c r="L234" s="830"/>
      <c r="M234" s="670"/>
    </row>
    <row r="235" spans="1:20" ht="25" customHeight="1">
      <c r="A235" s="2"/>
      <c r="B235" s="421"/>
      <c r="C235" s="59"/>
      <c r="D235" s="59"/>
      <c r="E235" s="59"/>
      <c r="F235" s="836"/>
      <c r="G235" s="837"/>
      <c r="H235" s="837"/>
      <c r="I235" s="838"/>
      <c r="J235" s="838"/>
      <c r="K235" s="893"/>
      <c r="L235" s="2"/>
      <c r="M235" s="670"/>
    </row>
    <row r="236" spans="1:20" ht="25" customHeight="1">
      <c r="A236" s="2"/>
      <c r="B236" s="645"/>
      <c r="C236" s="30"/>
      <c r="D236" s="36"/>
      <c r="E236" s="37"/>
      <c r="F236" s="40"/>
      <c r="G236" s="442"/>
      <c r="H236" s="30"/>
      <c r="I236" s="795"/>
      <c r="J236" s="750"/>
      <c r="K236" s="857"/>
      <c r="L236" s="2"/>
      <c r="M236" s="670"/>
    </row>
    <row r="237" spans="1:20" ht="25" customHeight="1">
      <c r="A237" s="839"/>
      <c r="B237" s="646"/>
      <c r="C237" s="42"/>
      <c r="D237" s="33"/>
      <c r="E237" s="34"/>
      <c r="F237" s="840"/>
      <c r="G237" s="827"/>
      <c r="H237" s="42"/>
      <c r="I237" s="841"/>
      <c r="J237" s="437"/>
      <c r="K237" s="596"/>
      <c r="L237" s="842"/>
      <c r="M237" s="670"/>
    </row>
    <row r="238" spans="1:20" s="112" customFormat="1" ht="25" customHeight="1">
      <c r="B238" s="647"/>
      <c r="C238" s="108"/>
      <c r="D238" s="109"/>
      <c r="E238" s="110"/>
      <c r="F238" s="843"/>
      <c r="G238" s="844"/>
      <c r="H238" s="108"/>
      <c r="I238" s="845"/>
      <c r="J238" s="846"/>
      <c r="K238" s="894"/>
    </row>
    <row r="239" spans="1:20" s="112" customFormat="1" ht="25" customHeight="1">
      <c r="B239" s="1089" t="s">
        <v>454</v>
      </c>
      <c r="C239" s="108"/>
      <c r="D239" s="108"/>
      <c r="E239" s="108"/>
      <c r="F239" s="847"/>
      <c r="G239" s="848"/>
      <c r="H239" s="849"/>
      <c r="I239" s="849"/>
      <c r="J239" s="849"/>
      <c r="K239" s="895"/>
      <c r="L239" s="846"/>
      <c r="M239" s="846"/>
      <c r="N239" s="846"/>
    </row>
    <row r="240" spans="1:20" s="112" customFormat="1" ht="25" customHeight="1">
      <c r="B240" s="1090" t="s">
        <v>455</v>
      </c>
      <c r="C240" s="108"/>
      <c r="D240" s="108"/>
      <c r="E240" s="108"/>
      <c r="F240" s="847"/>
      <c r="G240" s="848"/>
      <c r="H240" s="849"/>
      <c r="I240" s="849"/>
      <c r="J240" s="849"/>
      <c r="K240" s="895"/>
      <c r="L240" s="846"/>
      <c r="M240" s="846"/>
      <c r="N240" s="846"/>
    </row>
    <row r="241" spans="1:23" s="112" customFormat="1" ht="25" customHeight="1">
      <c r="B241" s="1091" t="s">
        <v>456</v>
      </c>
      <c r="C241" s="108"/>
      <c r="D241" s="108"/>
      <c r="E241" s="108"/>
      <c r="F241" s="847"/>
      <c r="G241" s="848"/>
      <c r="H241" s="849"/>
      <c r="I241" s="849"/>
      <c r="J241" s="849"/>
      <c r="K241" s="895"/>
      <c r="L241" s="846"/>
      <c r="M241" s="846"/>
      <c r="N241" s="846"/>
    </row>
    <row r="242" spans="1:23" s="112" customFormat="1" ht="25" customHeight="1">
      <c r="B242" s="1090" t="s">
        <v>457</v>
      </c>
      <c r="C242" s="108"/>
      <c r="D242" s="108"/>
      <c r="E242" s="108"/>
      <c r="F242" s="847"/>
      <c r="G242" s="848"/>
      <c r="H242" s="849"/>
      <c r="I242" s="849"/>
      <c r="J242" s="849"/>
      <c r="K242" s="895"/>
      <c r="L242" s="846"/>
      <c r="M242" s="846"/>
      <c r="N242" s="846"/>
    </row>
    <row r="243" spans="1:23" s="112" customFormat="1" ht="25" customHeight="1">
      <c r="B243" s="1092" t="s">
        <v>674</v>
      </c>
      <c r="C243" s="108"/>
      <c r="D243" s="108"/>
      <c r="E243" s="108"/>
      <c r="F243" s="847"/>
      <c r="G243" s="848"/>
      <c r="H243" s="849"/>
      <c r="I243" s="849"/>
      <c r="J243" s="849"/>
      <c r="K243" s="895"/>
      <c r="L243" s="846"/>
      <c r="M243" s="846"/>
      <c r="N243" s="846"/>
    </row>
    <row r="244" spans="1:23" s="112" customFormat="1" ht="25" customHeight="1">
      <c r="B244" s="1093"/>
      <c r="C244" s="108"/>
      <c r="D244" s="108"/>
      <c r="E244" s="108"/>
      <c r="F244" s="847"/>
      <c r="G244" s="848"/>
      <c r="H244" s="849"/>
      <c r="I244" s="849"/>
      <c r="J244" s="849"/>
      <c r="K244" s="895"/>
      <c r="L244" s="846"/>
      <c r="M244" s="846"/>
      <c r="N244" s="846"/>
    </row>
    <row r="245" spans="1:23" s="112" customFormat="1" ht="25" customHeight="1">
      <c r="B245" s="647"/>
      <c r="C245" s="108"/>
      <c r="D245" s="108"/>
      <c r="E245" s="108"/>
      <c r="F245" s="847"/>
      <c r="G245" s="848"/>
      <c r="H245" s="849"/>
      <c r="I245" s="849"/>
      <c r="J245" s="849"/>
      <c r="K245" s="895"/>
      <c r="L245" s="846"/>
      <c r="M245" s="846"/>
      <c r="N245" s="846"/>
    </row>
    <row r="246" spans="1:23" s="112" customFormat="1" ht="25" customHeight="1">
      <c r="B246" s="647"/>
      <c r="C246" s="108"/>
      <c r="D246" s="108"/>
      <c r="E246" s="108"/>
      <c r="F246" s="847"/>
      <c r="G246" s="848"/>
      <c r="H246" s="849"/>
      <c r="I246" s="849"/>
      <c r="J246" s="849"/>
      <c r="K246" s="895"/>
      <c r="L246" s="846"/>
      <c r="M246" s="846"/>
      <c r="N246" s="846"/>
    </row>
    <row r="247" spans="1:23" s="112" customFormat="1" ht="25" customHeight="1">
      <c r="B247" s="647"/>
      <c r="C247" s="108"/>
      <c r="D247" s="108"/>
      <c r="E247" s="108"/>
      <c r="F247" s="847"/>
      <c r="G247" s="848"/>
      <c r="H247" s="849"/>
      <c r="I247" s="849"/>
      <c r="J247" s="849"/>
      <c r="K247" s="895"/>
      <c r="L247" s="846"/>
      <c r="M247" s="846"/>
      <c r="N247" s="846"/>
    </row>
    <row r="248" spans="1:23" s="850" customFormat="1" ht="25" customHeight="1">
      <c r="A248" s="112"/>
      <c r="B248" s="647"/>
      <c r="C248" s="108"/>
      <c r="D248" s="108"/>
      <c r="E248" s="108"/>
      <c r="F248" s="847"/>
      <c r="G248" s="848"/>
      <c r="H248" s="849"/>
      <c r="I248" s="849"/>
      <c r="J248" s="849"/>
      <c r="K248" s="895"/>
      <c r="L248" s="846"/>
      <c r="M248" s="846"/>
      <c r="N248" s="846"/>
      <c r="O248" s="112"/>
      <c r="P248" s="112"/>
      <c r="Q248" s="112"/>
      <c r="R248" s="112"/>
      <c r="S248" s="112"/>
      <c r="T248" s="112"/>
      <c r="U248" s="112"/>
      <c r="V248" s="112"/>
      <c r="W248" s="112"/>
    </row>
    <row r="249" spans="1:23" s="112" customFormat="1" ht="25" customHeight="1">
      <c r="B249" s="647"/>
      <c r="C249" s="108"/>
      <c r="D249" s="108"/>
      <c r="E249" s="108"/>
      <c r="F249" s="847"/>
      <c r="G249" s="848"/>
      <c r="H249" s="849"/>
      <c r="I249" s="849"/>
      <c r="J249" s="849"/>
      <c r="K249" s="895"/>
      <c r="L249" s="846"/>
      <c r="M249" s="846"/>
      <c r="N249" s="846"/>
    </row>
    <row r="250" spans="1:23" s="112" customFormat="1" ht="25" customHeight="1">
      <c r="B250" s="647"/>
      <c r="C250" s="108"/>
      <c r="D250" s="108"/>
      <c r="E250" s="108"/>
      <c r="F250" s="847"/>
      <c r="G250" s="848"/>
      <c r="H250" s="849"/>
      <c r="I250" s="849"/>
      <c r="J250" s="849"/>
      <c r="K250" s="895"/>
      <c r="L250" s="846"/>
      <c r="M250" s="846"/>
      <c r="N250" s="846"/>
    </row>
    <row r="251" spans="1:23" s="112" customFormat="1" ht="25" customHeight="1">
      <c r="B251" s="647"/>
      <c r="C251" s="108"/>
      <c r="D251" s="108"/>
      <c r="E251" s="108"/>
      <c r="F251" s="847"/>
      <c r="G251" s="848"/>
      <c r="H251" s="849"/>
      <c r="I251" s="849"/>
      <c r="J251" s="849"/>
      <c r="K251" s="895"/>
      <c r="L251" s="846"/>
      <c r="M251" s="846"/>
      <c r="N251" s="846"/>
    </row>
    <row r="252" spans="1:23" s="112" customFormat="1" ht="25" customHeight="1">
      <c r="B252" s="647"/>
      <c r="C252" s="108"/>
      <c r="D252" s="108"/>
      <c r="E252" s="108"/>
      <c r="F252" s="847"/>
      <c r="G252" s="848"/>
      <c r="H252" s="849"/>
      <c r="I252" s="849"/>
      <c r="J252" s="849"/>
      <c r="K252" s="895"/>
      <c r="L252" s="846"/>
      <c r="M252" s="846"/>
      <c r="N252" s="846"/>
    </row>
    <row r="253" spans="1:23" s="112" customFormat="1" ht="25" customHeight="1">
      <c r="B253" s="647"/>
      <c r="C253" s="108"/>
      <c r="D253" s="108"/>
      <c r="E253" s="108"/>
      <c r="F253" s="847"/>
      <c r="G253" s="848"/>
      <c r="H253" s="849"/>
      <c r="I253" s="849"/>
      <c r="J253" s="849"/>
      <c r="K253" s="895"/>
      <c r="L253" s="846"/>
      <c r="M253" s="846"/>
      <c r="N253" s="846"/>
    </row>
    <row r="254" spans="1:23" s="112" customFormat="1" ht="25" customHeight="1">
      <c r="B254" s="647"/>
      <c r="C254" s="108"/>
      <c r="D254" s="108"/>
      <c r="E254" s="108"/>
      <c r="F254" s="847"/>
      <c r="G254" s="848"/>
      <c r="H254" s="849"/>
      <c r="I254" s="849"/>
      <c r="J254" s="849"/>
      <c r="K254" s="895"/>
      <c r="L254" s="846"/>
      <c r="M254" s="846"/>
      <c r="N254" s="846"/>
    </row>
    <row r="255" spans="1:23" s="112" customFormat="1" ht="25" customHeight="1">
      <c r="B255" s="647"/>
      <c r="C255" s="108"/>
      <c r="D255" s="108"/>
      <c r="E255" s="108"/>
      <c r="F255" s="847"/>
      <c r="G255" s="848"/>
      <c r="H255" s="849"/>
      <c r="I255" s="849"/>
      <c r="J255" s="849"/>
      <c r="K255" s="895"/>
      <c r="L255" s="846"/>
      <c r="M255" s="846"/>
      <c r="N255" s="846"/>
    </row>
    <row r="256" spans="1:23" s="112" customFormat="1" ht="25" customHeight="1">
      <c r="B256" s="647"/>
      <c r="C256" s="108"/>
      <c r="D256" s="108"/>
      <c r="E256" s="108"/>
      <c r="F256" s="847"/>
      <c r="G256" s="848"/>
      <c r="H256" s="849"/>
      <c r="I256" s="849"/>
      <c r="J256" s="849"/>
      <c r="K256" s="895"/>
      <c r="L256" s="846"/>
      <c r="M256" s="846"/>
      <c r="N256" s="846"/>
    </row>
    <row r="257" spans="2:14" s="112" customFormat="1" ht="25" customHeight="1">
      <c r="B257" s="647"/>
      <c r="C257" s="108"/>
      <c r="D257" s="108"/>
      <c r="E257" s="108"/>
      <c r="F257" s="847"/>
      <c r="G257" s="848"/>
      <c r="H257" s="849"/>
      <c r="I257" s="849"/>
      <c r="J257" s="849"/>
      <c r="K257" s="895"/>
      <c r="L257" s="846"/>
      <c r="M257" s="846"/>
      <c r="N257" s="846"/>
    </row>
    <row r="258" spans="2:14" s="112" customFormat="1" ht="25" customHeight="1">
      <c r="B258" s="647"/>
      <c r="C258" s="108"/>
      <c r="D258" s="108"/>
      <c r="E258" s="108"/>
      <c r="F258" s="847"/>
      <c r="G258" s="848"/>
      <c r="H258" s="849"/>
      <c r="I258" s="849"/>
      <c r="J258" s="849"/>
      <c r="K258" s="895"/>
      <c r="L258" s="846"/>
      <c r="M258" s="846"/>
      <c r="N258" s="846"/>
    </row>
    <row r="259" spans="2:14" s="112" customFormat="1" ht="25" customHeight="1">
      <c r="B259" s="647"/>
      <c r="C259" s="108"/>
      <c r="D259" s="108"/>
      <c r="E259" s="108"/>
      <c r="F259" s="847"/>
      <c r="G259" s="848"/>
      <c r="H259" s="849"/>
      <c r="I259" s="849"/>
      <c r="J259" s="849"/>
      <c r="K259" s="895"/>
      <c r="L259" s="846"/>
      <c r="M259" s="846"/>
      <c r="N259" s="846"/>
    </row>
    <row r="260" spans="2:14" s="112" customFormat="1" ht="25" customHeight="1">
      <c r="B260" s="647"/>
      <c r="C260" s="108"/>
      <c r="D260" s="108"/>
      <c r="E260" s="108"/>
      <c r="F260" s="847"/>
      <c r="G260" s="848"/>
      <c r="H260" s="849"/>
      <c r="I260" s="849"/>
      <c r="J260" s="849"/>
      <c r="K260" s="895"/>
      <c r="L260" s="846"/>
      <c r="M260" s="846"/>
      <c r="N260" s="846"/>
    </row>
    <row r="261" spans="2:14" s="112" customFormat="1" ht="25" customHeight="1">
      <c r="B261" s="647"/>
      <c r="C261" s="108"/>
      <c r="D261" s="108"/>
      <c r="E261" s="108"/>
      <c r="F261" s="847"/>
      <c r="G261" s="848"/>
      <c r="H261" s="849"/>
      <c r="I261" s="849"/>
      <c r="J261" s="849"/>
      <c r="K261" s="895"/>
      <c r="L261" s="846"/>
      <c r="M261" s="846"/>
      <c r="N261" s="846"/>
    </row>
    <row r="262" spans="2:14" s="112" customFormat="1" ht="25" customHeight="1">
      <c r="B262" s="647"/>
      <c r="C262" s="108"/>
      <c r="D262" s="108"/>
      <c r="E262" s="108"/>
      <c r="F262" s="847"/>
      <c r="G262" s="848"/>
      <c r="H262" s="849"/>
      <c r="I262" s="849"/>
      <c r="J262" s="849"/>
      <c r="K262" s="895"/>
      <c r="L262" s="846"/>
      <c r="M262" s="846"/>
      <c r="N262" s="846"/>
    </row>
    <row r="263" spans="2:14" s="112" customFormat="1" ht="25" customHeight="1">
      <c r="B263" s="647"/>
      <c r="C263" s="108"/>
      <c r="D263" s="108"/>
      <c r="E263" s="108"/>
      <c r="F263" s="847"/>
      <c r="G263" s="848"/>
      <c r="H263" s="849"/>
      <c r="I263" s="849"/>
      <c r="J263" s="849"/>
      <c r="K263" s="895"/>
      <c r="L263" s="846"/>
      <c r="M263" s="846"/>
      <c r="N263" s="846"/>
    </row>
    <row r="264" spans="2:14" s="112" customFormat="1" ht="25" customHeight="1">
      <c r="B264" s="647"/>
      <c r="C264" s="108"/>
      <c r="D264" s="108"/>
      <c r="E264" s="108"/>
      <c r="F264" s="847"/>
      <c r="G264" s="848"/>
      <c r="H264" s="849"/>
      <c r="I264" s="849"/>
      <c r="J264" s="849"/>
      <c r="K264" s="895"/>
      <c r="L264" s="846"/>
      <c r="M264" s="846"/>
      <c r="N264" s="846"/>
    </row>
    <row r="265" spans="2:14" s="112" customFormat="1" ht="25" customHeight="1">
      <c r="B265" s="647"/>
      <c r="C265" s="108"/>
      <c r="D265" s="108"/>
      <c r="E265" s="108"/>
      <c r="F265" s="847"/>
      <c r="G265" s="848"/>
      <c r="H265" s="849"/>
      <c r="I265" s="849"/>
      <c r="J265" s="849"/>
      <c r="K265" s="895"/>
      <c r="L265" s="846"/>
      <c r="M265" s="846"/>
      <c r="N265" s="846"/>
    </row>
    <row r="266" spans="2:14" s="112" customFormat="1" ht="25" customHeight="1">
      <c r="B266" s="647"/>
      <c r="C266" s="108"/>
      <c r="D266" s="108"/>
      <c r="E266" s="108"/>
      <c r="F266" s="847"/>
      <c r="G266" s="848"/>
      <c r="H266" s="849"/>
      <c r="I266" s="849"/>
      <c r="J266" s="849"/>
      <c r="K266" s="895"/>
      <c r="L266" s="846"/>
      <c r="M266" s="846"/>
      <c r="N266" s="846"/>
    </row>
    <row r="267" spans="2:14" s="112" customFormat="1" ht="25" customHeight="1">
      <c r="B267" s="647"/>
      <c r="C267" s="108"/>
      <c r="D267" s="108"/>
      <c r="E267" s="108"/>
      <c r="F267" s="847"/>
      <c r="G267" s="848"/>
      <c r="H267" s="849"/>
      <c r="I267" s="849"/>
      <c r="J267" s="849"/>
      <c r="K267" s="895"/>
      <c r="L267" s="846"/>
      <c r="M267" s="846"/>
      <c r="N267" s="846"/>
    </row>
    <row r="268" spans="2:14" s="112" customFormat="1" ht="25" customHeight="1">
      <c r="B268" s="648"/>
      <c r="K268" s="895"/>
      <c r="M268" s="851"/>
    </row>
    <row r="269" spans="2:14" s="112" customFormat="1" ht="25" customHeight="1">
      <c r="B269" s="648"/>
      <c r="K269" s="895"/>
      <c r="M269" s="851"/>
    </row>
    <row r="270" spans="2:14" s="112" customFormat="1" ht="25" customHeight="1">
      <c r="B270" s="648"/>
      <c r="K270" s="895"/>
      <c r="M270" s="851"/>
    </row>
    <row r="271" spans="2:14" s="112" customFormat="1" ht="25" customHeight="1">
      <c r="B271" s="648"/>
      <c r="K271" s="895"/>
      <c r="M271" s="851"/>
    </row>
    <row r="272" spans="2:14" s="112" customFormat="1" ht="25" customHeight="1">
      <c r="B272" s="648"/>
      <c r="K272" s="895"/>
      <c r="M272" s="851"/>
    </row>
    <row r="273" spans="2:13" s="112" customFormat="1" ht="25" customHeight="1">
      <c r="B273" s="648"/>
      <c r="K273" s="895"/>
      <c r="M273" s="851"/>
    </row>
    <row r="274" spans="2:13" s="112" customFormat="1" ht="25" customHeight="1">
      <c r="B274" s="648"/>
      <c r="K274" s="895"/>
      <c r="M274" s="851"/>
    </row>
    <row r="275" spans="2:13" s="112" customFormat="1" ht="25" customHeight="1">
      <c r="B275" s="648"/>
      <c r="K275" s="895"/>
      <c r="M275" s="851"/>
    </row>
    <row r="276" spans="2:13" s="112" customFormat="1" ht="25" customHeight="1">
      <c r="B276" s="648"/>
      <c r="K276" s="895"/>
      <c r="M276" s="851"/>
    </row>
    <row r="277" spans="2:13" s="112" customFormat="1" ht="25" customHeight="1">
      <c r="B277" s="648"/>
      <c r="K277" s="895"/>
      <c r="M277" s="851"/>
    </row>
    <row r="278" spans="2:13" s="112" customFormat="1" ht="25" customHeight="1">
      <c r="B278" s="648"/>
      <c r="K278" s="895"/>
      <c r="M278" s="851"/>
    </row>
    <row r="279" spans="2:13" s="112" customFormat="1" ht="25" customHeight="1">
      <c r="B279" s="648"/>
      <c r="K279" s="895"/>
      <c r="M279" s="851"/>
    </row>
    <row r="280" spans="2:13" s="112" customFormat="1" ht="25" customHeight="1">
      <c r="B280" s="648"/>
      <c r="K280" s="895"/>
      <c r="M280" s="851"/>
    </row>
    <row r="281" spans="2:13" s="112" customFormat="1" ht="25" customHeight="1">
      <c r="B281" s="648"/>
      <c r="K281" s="895"/>
      <c r="M281" s="851"/>
    </row>
    <row r="282" spans="2:13" s="112" customFormat="1" ht="25" customHeight="1">
      <c r="B282" s="648"/>
      <c r="K282" s="895"/>
      <c r="M282" s="851"/>
    </row>
    <row r="283" spans="2:13" s="112" customFormat="1" ht="25" customHeight="1">
      <c r="B283" s="648"/>
      <c r="K283" s="895"/>
      <c r="M283" s="851"/>
    </row>
    <row r="284" spans="2:13" s="112" customFormat="1" ht="25" customHeight="1">
      <c r="B284" s="648"/>
      <c r="K284" s="895"/>
      <c r="M284" s="851"/>
    </row>
    <row r="285" spans="2:13" s="112" customFormat="1" ht="25" customHeight="1">
      <c r="B285" s="648"/>
      <c r="K285" s="895"/>
      <c r="M285" s="851"/>
    </row>
    <row r="286" spans="2:13" s="112" customFormat="1" ht="25" customHeight="1">
      <c r="B286" s="648"/>
      <c r="K286" s="895"/>
      <c r="M286" s="851"/>
    </row>
    <row r="287" spans="2:13" s="112" customFormat="1" ht="25" customHeight="1">
      <c r="B287" s="648"/>
      <c r="K287" s="895"/>
      <c r="M287" s="851"/>
    </row>
    <row r="288" spans="2:13" s="112" customFormat="1" ht="25" customHeight="1">
      <c r="B288" s="648"/>
      <c r="K288" s="895"/>
      <c r="M288" s="851"/>
    </row>
    <row r="289" spans="2:13" s="112" customFormat="1" ht="25" customHeight="1">
      <c r="B289" s="648"/>
      <c r="K289" s="895"/>
      <c r="M289" s="851"/>
    </row>
    <row r="290" spans="2:13" s="112" customFormat="1" ht="25" customHeight="1">
      <c r="B290" s="648"/>
      <c r="K290" s="895"/>
      <c r="M290" s="851"/>
    </row>
    <row r="291" spans="2:13" s="112" customFormat="1" ht="25" customHeight="1">
      <c r="B291" s="648"/>
      <c r="K291" s="895"/>
      <c r="M291" s="851"/>
    </row>
    <row r="292" spans="2:13" s="112" customFormat="1" ht="25" customHeight="1">
      <c r="B292" s="648"/>
      <c r="K292" s="895"/>
      <c r="M292" s="851"/>
    </row>
    <row r="293" spans="2:13" s="112" customFormat="1" ht="25" customHeight="1">
      <c r="B293" s="648"/>
      <c r="K293" s="895"/>
      <c r="M293" s="851"/>
    </row>
    <row r="294" spans="2:13" s="112" customFormat="1" ht="25" customHeight="1">
      <c r="B294" s="648"/>
      <c r="K294" s="895"/>
      <c r="M294" s="851"/>
    </row>
    <row r="295" spans="2:13" s="112" customFormat="1" ht="25" customHeight="1">
      <c r="B295" s="648"/>
      <c r="K295" s="895"/>
      <c r="M295" s="851"/>
    </row>
    <row r="296" spans="2:13" s="112" customFormat="1" ht="25" customHeight="1">
      <c r="B296" s="648"/>
      <c r="K296" s="895"/>
      <c r="M296" s="851"/>
    </row>
    <row r="297" spans="2:13" s="112" customFormat="1" ht="25" customHeight="1">
      <c r="B297" s="648"/>
      <c r="K297" s="895"/>
      <c r="M297" s="851"/>
    </row>
    <row r="298" spans="2:13" s="112" customFormat="1" ht="25" customHeight="1">
      <c r="B298" s="648"/>
      <c r="K298" s="895"/>
      <c r="M298" s="851"/>
    </row>
    <row r="299" spans="2:13" s="112" customFormat="1" ht="25" customHeight="1">
      <c r="B299" s="648"/>
      <c r="K299" s="895"/>
      <c r="M299" s="851"/>
    </row>
    <row r="300" spans="2:13" s="112" customFormat="1" ht="25" customHeight="1">
      <c r="B300" s="648"/>
      <c r="K300" s="895"/>
      <c r="M300" s="851"/>
    </row>
    <row r="301" spans="2:13" s="112" customFormat="1" ht="25" customHeight="1">
      <c r="B301" s="648"/>
      <c r="K301" s="895"/>
      <c r="M301" s="851"/>
    </row>
    <row r="302" spans="2:13" s="112" customFormat="1" ht="25" customHeight="1">
      <c r="B302" s="648"/>
      <c r="K302" s="895"/>
      <c r="M302" s="851"/>
    </row>
    <row r="303" spans="2:13" s="112" customFormat="1" ht="25" customHeight="1">
      <c r="B303" s="648"/>
      <c r="K303" s="895"/>
      <c r="M303" s="851"/>
    </row>
    <row r="304" spans="2:13" s="112" customFormat="1" ht="25" customHeight="1">
      <c r="B304" s="648"/>
      <c r="K304" s="895"/>
      <c r="M304" s="851"/>
    </row>
    <row r="305" spans="2:13" s="112" customFormat="1" ht="25" customHeight="1">
      <c r="B305" s="648"/>
      <c r="K305" s="895"/>
      <c r="M305" s="851"/>
    </row>
    <row r="306" spans="2:13" s="112" customFormat="1" ht="25" customHeight="1">
      <c r="B306" s="648"/>
      <c r="K306" s="895"/>
      <c r="M306" s="851"/>
    </row>
    <row r="307" spans="2:13" s="112" customFormat="1" ht="25" customHeight="1">
      <c r="B307" s="648"/>
      <c r="K307" s="895"/>
      <c r="M307" s="851"/>
    </row>
    <row r="308" spans="2:13" s="112" customFormat="1" ht="25" customHeight="1">
      <c r="B308" s="648"/>
      <c r="K308" s="895"/>
      <c r="M308" s="851"/>
    </row>
    <row r="309" spans="2:13" s="112" customFormat="1" ht="25" customHeight="1">
      <c r="B309" s="648"/>
      <c r="K309" s="895"/>
      <c r="M309" s="851"/>
    </row>
    <row r="310" spans="2:13" s="112" customFormat="1" ht="25" customHeight="1">
      <c r="B310" s="648"/>
      <c r="K310" s="895"/>
      <c r="M310" s="851"/>
    </row>
    <row r="311" spans="2:13" s="112" customFormat="1" ht="25" customHeight="1">
      <c r="B311" s="648"/>
      <c r="K311" s="895"/>
      <c r="M311" s="851"/>
    </row>
    <row r="312" spans="2:13" s="112" customFormat="1" ht="25" customHeight="1">
      <c r="B312" s="648"/>
      <c r="K312" s="895"/>
      <c r="M312" s="851"/>
    </row>
    <row r="313" spans="2:13" s="112" customFormat="1" ht="25" customHeight="1">
      <c r="B313" s="648"/>
      <c r="K313" s="895"/>
      <c r="M313" s="851"/>
    </row>
    <row r="314" spans="2:13" s="112" customFormat="1" ht="25" customHeight="1">
      <c r="B314" s="648"/>
      <c r="K314" s="895"/>
      <c r="M314" s="851"/>
    </row>
    <row r="315" spans="2:13" s="112" customFormat="1" ht="25" customHeight="1">
      <c r="B315" s="648"/>
      <c r="K315" s="895"/>
      <c r="M315" s="851"/>
    </row>
    <row r="316" spans="2:13" s="112" customFormat="1" ht="25" customHeight="1">
      <c r="B316" s="648"/>
      <c r="K316" s="895"/>
      <c r="M316" s="851"/>
    </row>
    <row r="317" spans="2:13" s="112" customFormat="1" ht="25" customHeight="1">
      <c r="B317" s="648"/>
      <c r="K317" s="895"/>
      <c r="M317" s="851"/>
    </row>
    <row r="318" spans="2:13" s="112" customFormat="1" ht="25" customHeight="1">
      <c r="B318" s="648"/>
      <c r="K318" s="895"/>
      <c r="M318" s="851"/>
    </row>
    <row r="330" spans="2:4" ht="25" customHeight="1">
      <c r="B330" s="649"/>
      <c r="C330" s="38"/>
      <c r="D330" s="96"/>
    </row>
  </sheetData>
  <sheetProtection algorithmName="SHA-512" hashValue="OGfd0cyYOwjp2S3FNYEDHr5AUYJ4uq6RKZVM0m2S0LevaDOaSWkzoXI9ieX+S+F492j1XK7sdwdwPRT8SajHrQ==" saltValue="lZIg0sI0Evw6AwopiQ68LA==" spinCount="100000" sheet="1" objects="1" scenarios="1" selectLockedCells="1"/>
  <mergeCells count="43">
    <mergeCell ref="B220:G222"/>
    <mergeCell ref="B223:F223"/>
    <mergeCell ref="B137:G139"/>
    <mergeCell ref="B182:G184"/>
    <mergeCell ref="B185:F185"/>
    <mergeCell ref="B186:F186"/>
    <mergeCell ref="H100:I100"/>
    <mergeCell ref="H98:I98"/>
    <mergeCell ref="B4:C4"/>
    <mergeCell ref="B15:G17"/>
    <mergeCell ref="B19:F19"/>
    <mergeCell ref="F98:G98"/>
    <mergeCell ref="D98:E98"/>
    <mergeCell ref="D100:E100"/>
    <mergeCell ref="F100:G100"/>
    <mergeCell ref="B24:E24"/>
    <mergeCell ref="B43:E43"/>
    <mergeCell ref="B58:E58"/>
    <mergeCell ref="B68:E68"/>
    <mergeCell ref="B85:K87"/>
    <mergeCell ref="H101:I101"/>
    <mergeCell ref="H104:I104"/>
    <mergeCell ref="H103:I103"/>
    <mergeCell ref="B108:G110"/>
    <mergeCell ref="D101:E101"/>
    <mergeCell ref="D102:E102"/>
    <mergeCell ref="D103:E103"/>
    <mergeCell ref="D104:E104"/>
    <mergeCell ref="F101:G101"/>
    <mergeCell ref="F102:G102"/>
    <mergeCell ref="F104:G104"/>
    <mergeCell ref="F103:G103"/>
    <mergeCell ref="B123:G125"/>
    <mergeCell ref="G130:H130"/>
    <mergeCell ref="H102:I102"/>
    <mergeCell ref="G131:H131"/>
    <mergeCell ref="G132:H132"/>
    <mergeCell ref="C130:D130"/>
    <mergeCell ref="C131:D131"/>
    <mergeCell ref="C132:D132"/>
    <mergeCell ref="E131:F131"/>
    <mergeCell ref="E132:F132"/>
    <mergeCell ref="E130:F130"/>
  </mergeCells>
  <phoneticPr fontId="2" type="noConversion"/>
  <conditionalFormatting sqref="I26:I37 K26:K37 I45:I54 K45:K54 I60:I63 K60:K63 I70:I72 K70:K72 I79:I81 K79:K81 I93:I94 K93:K94 I116:I118 J117:J118 K116:K118">
    <cfRule type="cellIs" dxfId="130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27" r:id="rId3" xr:uid="{14C68887-A6AE-5A46-B6B4-5CBC0F55863C}"/>
    <hyperlink ref="B24" location="'SEK - Safesprings tjänster 2022'!I83" display="Central blocklagring kan köpas till insatserna. Se &quot;Central blocklagring&quot; i prislistan." xr:uid="{F316C0C5-9796-3D42-860E-7BB52EE03484}"/>
    <hyperlink ref="B24:E24" location="'SEK - Safesprings tjänster 2022'!I81" display="Central blocklagring kan köpas till insatserna. Se &quot;Central blocklagring&quot; i prislistan." xr:uid="{0BD7732F-77E0-5C4A-8F35-E6C7EE8823EC}"/>
    <hyperlink ref="B43" location="'SEK - Safesprings tjänster 2022'!I83" display="Central blocklagring kan köpas till insatserna. Se &quot;Central blocklagring&quot; i prislistan." xr:uid="{925170A4-D88F-6948-B4B6-42FE1A210ECA}"/>
    <hyperlink ref="B43:E43" location="'SEK - Safesprings tjänster 2022'!I81" display="Central blocklagring kan köpas till insatserna. Se &quot;Central blocklagring&quot; i prislistan." xr:uid="{2B5E2354-2A12-124B-ADD5-1BF4B3EF822A}"/>
    <hyperlink ref="B58" location="'SEK - Safesprings tjänster 2022'!I83" display="Central blocklagring kan köpas till insatserna. Se &quot;Central blocklagring&quot; i prislistan." xr:uid="{7245751B-9218-B140-BF80-95BB41BDA629}"/>
    <hyperlink ref="B58:E58" location="'SEK - Safesprings tjänster 2022'!I81" display="Central blocklagring kan köpas till insatserna. Se &quot;Central blocklagring&quot; i prislistan." xr:uid="{68E33D46-B1E3-E949-B5D8-A280A8A3ACE5}"/>
    <hyperlink ref="B68" location="'SEK - Safesprings tjänster 2022'!I83" display="Central blocklagring kan köpas till insatserna. Se &quot;Central blocklagring&quot; i prislistan." xr:uid="{B8C5E60C-C647-074B-BB58-1700364AC2DE}"/>
    <hyperlink ref="B68:E68" location="'SEK - Safesprings tjänster 2022'!I81" display="Central blocklagring kan köpas till insatserna. Se &quot;Central blocklagring&quot; i prislistan." xr:uid="{B9B9D1CD-46E6-B54F-AC66-0BD36D28B36D}"/>
  </hyperlinks>
  <printOptions horizontalCentered="1" verticalCentered="1"/>
  <pageMargins left="0" right="0" top="0" bottom="0" header="0" footer="0"/>
  <pageSetup paperSize="9" scale="16" orientation="portrait" r:id="rId4"/>
  <headerFooter>
    <oddFooter>&amp;C&amp;P av &amp;N</oddFooter>
  </headerFooter>
  <rowBreaks count="5" manualBreakCount="5">
    <brk id="22" max="11" man="1"/>
    <brk id="82" max="11" man="1"/>
    <brk id="237" max="11" man="1"/>
    <brk id="257" max="13" man="1"/>
    <brk id="279" max="16383" man="1"/>
  </rowBreaks>
  <ignoredErrors>
    <ignoredError sqref="G80" formula="1"/>
  </ignoredError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9" name="Option Button 2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330"/>
  <sheetViews>
    <sheetView showGridLines="0" zoomScaleNormal="100" zoomScaleSheetLayoutView="100" workbookViewId="0">
      <selection activeCell="B24" sqref="B24:F24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65" customWidth="1"/>
    <col min="12" max="12" width="14.83203125" style="1" customWidth="1"/>
    <col min="13" max="13" width="14.83203125" style="852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59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59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59"/>
      <c r="L3" s="669"/>
      <c r="M3" s="670"/>
    </row>
    <row r="4" spans="1:26" ht="25" customHeight="1">
      <c r="A4" s="2"/>
      <c r="B4" s="982"/>
      <c r="C4" s="982"/>
      <c r="D4" s="2"/>
      <c r="E4" s="2"/>
      <c r="F4" s="2"/>
      <c r="G4" s="2"/>
      <c r="H4" s="2"/>
      <c r="I4" s="2"/>
      <c r="J4" s="2"/>
      <c r="K4" s="859"/>
      <c r="L4" s="669"/>
      <c r="M4" s="670"/>
    </row>
    <row r="5" spans="1:26" ht="25" customHeight="1">
      <c r="A5" s="2"/>
      <c r="B5" s="633" t="s">
        <v>672</v>
      </c>
      <c r="C5" s="65"/>
      <c r="D5" s="2"/>
      <c r="E5" s="2"/>
      <c r="F5" s="2"/>
      <c r="G5" s="2"/>
      <c r="H5" s="2"/>
      <c r="I5" s="2"/>
      <c r="J5" s="2"/>
      <c r="K5" s="859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59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59"/>
      <c r="L7" s="669"/>
      <c r="M7" s="670"/>
    </row>
    <row r="8" spans="1:26" ht="25" customHeight="1">
      <c r="A8" s="2"/>
      <c r="B8" s="422" t="s">
        <v>0</v>
      </c>
      <c r="C8" s="61"/>
      <c r="D8" s="68" t="s">
        <v>1</v>
      </c>
      <c r="E8" s="2"/>
      <c r="F8" s="2"/>
      <c r="G8" s="2"/>
      <c r="H8" s="2"/>
      <c r="I8" s="2"/>
      <c r="J8" s="2"/>
      <c r="K8" s="859"/>
      <c r="L8" s="669"/>
      <c r="M8" s="670"/>
    </row>
    <row r="9" spans="1:26" ht="25" customHeight="1">
      <c r="A9" s="2"/>
      <c r="B9" s="418" t="s">
        <v>656</v>
      </c>
      <c r="C9" s="61"/>
      <c r="D9" s="2"/>
      <c r="E9" s="2"/>
      <c r="F9" s="2"/>
      <c r="G9" s="2"/>
      <c r="H9" s="2"/>
      <c r="I9" s="2"/>
      <c r="J9" s="2"/>
      <c r="K9" s="859"/>
      <c r="L9" s="669"/>
      <c r="M9" s="670"/>
    </row>
    <row r="10" spans="1:26" ht="25" customHeight="1">
      <c r="A10" s="2"/>
      <c r="B10" s="964" t="s">
        <v>3</v>
      </c>
      <c r="C10" s="402"/>
      <c r="D10" s="2"/>
      <c r="E10" s="2"/>
      <c r="F10" s="2"/>
      <c r="G10" s="2"/>
      <c r="H10" s="2"/>
      <c r="I10" s="2"/>
      <c r="J10" s="2"/>
      <c r="K10" s="859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60"/>
      <c r="L11" s="673"/>
      <c r="M11" s="674"/>
    </row>
    <row r="12" spans="1:26" s="4" customFormat="1" ht="25" customHeight="1">
      <c r="A12" s="63"/>
      <c r="B12" s="637"/>
      <c r="C12" s="64"/>
      <c r="D12" s="63"/>
      <c r="E12" s="63"/>
      <c r="F12" s="63"/>
      <c r="G12" s="675"/>
      <c r="H12" s="675"/>
      <c r="I12" s="676"/>
      <c r="J12" s="63"/>
      <c r="K12" s="861"/>
      <c r="L12" s="677"/>
      <c r="M12" s="674"/>
    </row>
    <row r="13" spans="1:26" s="4" customFormat="1" ht="25" customHeight="1">
      <c r="B13" s="638"/>
      <c r="G13" s="678"/>
      <c r="H13" s="678"/>
      <c r="I13" s="679"/>
      <c r="K13" s="862"/>
      <c r="L13" s="680"/>
      <c r="M13" s="674"/>
    </row>
    <row r="14" spans="1:26" s="4" customFormat="1" ht="25" customHeight="1">
      <c r="B14" s="638"/>
      <c r="G14" s="678"/>
      <c r="H14" s="678"/>
      <c r="I14" s="679"/>
      <c r="K14" s="862"/>
      <c r="L14" s="680"/>
      <c r="M14" s="674"/>
    </row>
    <row r="15" spans="1:26" s="4" customFormat="1" ht="25" customHeight="1">
      <c r="B15" s="967" t="s">
        <v>668</v>
      </c>
      <c r="C15" s="967"/>
      <c r="D15" s="967"/>
      <c r="E15" s="967"/>
      <c r="F15" s="967"/>
      <c r="G15" s="967"/>
      <c r="H15" s="679"/>
      <c r="J15" s="681"/>
      <c r="K15" s="862"/>
      <c r="L15" s="680"/>
      <c r="M15" s="674"/>
      <c r="S15" s="682"/>
      <c r="X15" s="682"/>
      <c r="Y15" s="682"/>
      <c r="Z15" s="682"/>
    </row>
    <row r="16" spans="1:26" s="4" customFormat="1" ht="25" customHeight="1">
      <c r="B16" s="967"/>
      <c r="C16" s="967"/>
      <c r="D16" s="967"/>
      <c r="E16" s="967"/>
      <c r="F16" s="967"/>
      <c r="G16" s="967"/>
      <c r="H16" s="679"/>
      <c r="J16" s="681"/>
      <c r="K16" s="862"/>
      <c r="L16" s="680"/>
      <c r="M16" s="674"/>
      <c r="S16" s="682"/>
      <c r="X16" s="682"/>
      <c r="Y16" s="682"/>
      <c r="Z16" s="682"/>
    </row>
    <row r="17" spans="2:26" s="4" customFormat="1" ht="25" customHeight="1">
      <c r="B17" s="967"/>
      <c r="C17" s="967"/>
      <c r="D17" s="967"/>
      <c r="E17" s="967"/>
      <c r="F17" s="967"/>
      <c r="G17" s="967"/>
      <c r="H17" s="679"/>
      <c r="J17" s="681"/>
      <c r="K17" s="862"/>
      <c r="L17" s="680"/>
      <c r="M17" s="674"/>
      <c r="S17" s="682"/>
      <c r="X17" s="682"/>
      <c r="Y17" s="682"/>
      <c r="Z17" s="682"/>
    </row>
    <row r="18" spans="2:26" s="4" customFormat="1" ht="25" customHeight="1">
      <c r="B18" s="551" t="s">
        <v>549</v>
      </c>
      <c r="C18" s="683"/>
      <c r="D18" s="683"/>
      <c r="E18" s="683"/>
      <c r="F18" s="683"/>
      <c r="H18" s="679"/>
      <c r="J18" s="681"/>
      <c r="K18" s="862"/>
      <c r="L18" s="680"/>
      <c r="M18" s="674"/>
      <c r="S18" s="682"/>
      <c r="T18" s="682"/>
      <c r="U18" s="682"/>
      <c r="V18" s="682"/>
      <c r="W18" s="682"/>
      <c r="X18" s="682"/>
      <c r="Y18" s="682"/>
      <c r="Z18" s="682"/>
    </row>
    <row r="19" spans="2:26" s="4" customFormat="1" ht="25" customHeight="1">
      <c r="B19" s="465" t="s">
        <v>6</v>
      </c>
      <c r="C19" s="465"/>
      <c r="D19" s="465"/>
      <c r="E19" s="465"/>
      <c r="F19" s="465"/>
      <c r="G19" s="684"/>
      <c r="H19" s="685"/>
      <c r="J19" s="686"/>
      <c r="K19" s="863"/>
      <c r="L19" s="687"/>
      <c r="M19" s="674"/>
      <c r="S19" s="682"/>
      <c r="T19" s="682"/>
      <c r="U19" s="682"/>
      <c r="V19" s="682"/>
      <c r="W19" s="682"/>
      <c r="X19" s="682"/>
      <c r="Y19" s="682"/>
      <c r="Z19" s="682"/>
    </row>
    <row r="20" spans="2:26" s="4" customFormat="1" ht="25" customHeight="1">
      <c r="B20" s="552" t="s">
        <v>558</v>
      </c>
      <c r="C20" s="74"/>
      <c r="D20" s="74"/>
      <c r="E20" s="74"/>
      <c r="F20" s="133"/>
      <c r="G20" s="684"/>
      <c r="H20" s="685"/>
      <c r="I20" s="684"/>
      <c r="J20" s="686"/>
      <c r="K20" s="863"/>
      <c r="L20" s="763"/>
      <c r="M20" s="702"/>
      <c r="O20" s="682"/>
      <c r="P20" s="682"/>
    </row>
    <row r="21" spans="2:26" s="4" customFormat="1" ht="25" customHeight="1">
      <c r="B21" s="465"/>
      <c r="C21" s="133"/>
      <c r="D21" s="133"/>
      <c r="E21" s="133"/>
      <c r="F21" s="133"/>
      <c r="G21" s="684"/>
      <c r="H21" s="685"/>
      <c r="I21" s="684"/>
      <c r="J21" s="686"/>
      <c r="K21" s="863"/>
      <c r="L21" s="687"/>
      <c r="M21" s="688"/>
      <c r="P21" s="1"/>
      <c r="Q21" s="1"/>
      <c r="R21" s="1"/>
      <c r="S21" s="682"/>
      <c r="T21" s="682"/>
      <c r="U21" s="682"/>
      <c r="V21" s="682"/>
      <c r="W21" s="682"/>
      <c r="X21" s="682"/>
      <c r="Y21" s="689"/>
      <c r="Z21" s="682"/>
    </row>
    <row r="22" spans="2:26" s="4" customFormat="1" ht="25" customHeight="1">
      <c r="B22" s="465"/>
      <c r="C22" s="133"/>
      <c r="D22" s="133"/>
      <c r="E22" s="133"/>
      <c r="F22" s="133"/>
      <c r="G22" s="684"/>
      <c r="H22" s="685"/>
      <c r="I22" s="684"/>
      <c r="J22" s="686"/>
      <c r="K22" s="863"/>
      <c r="L22" s="687"/>
      <c r="M22" s="688"/>
      <c r="P22" s="1"/>
      <c r="Q22" s="1"/>
      <c r="R22" s="1"/>
      <c r="S22" s="682"/>
      <c r="T22" s="682"/>
      <c r="U22" s="682"/>
      <c r="V22" s="682"/>
      <c r="W22" s="682"/>
      <c r="X22" s="682"/>
      <c r="Y22" s="689"/>
      <c r="Z22" s="682"/>
    </row>
    <row r="23" spans="2:26" s="691" customFormat="1" ht="25" customHeight="1">
      <c r="B23" s="651" t="s">
        <v>550</v>
      </c>
      <c r="C23" s="107"/>
      <c r="D23" s="107"/>
      <c r="E23" s="107"/>
      <c r="F23" s="107"/>
      <c r="G23" s="107"/>
      <c r="H23" s="21"/>
      <c r="I23" s="690"/>
      <c r="J23" s="690"/>
      <c r="K23" s="864"/>
      <c r="M23" s="692"/>
      <c r="P23" s="693"/>
      <c r="Q23" s="693"/>
      <c r="R23" s="694"/>
    </row>
    <row r="24" spans="2:26" ht="25" customHeight="1">
      <c r="B24" s="989" t="s">
        <v>647</v>
      </c>
      <c r="C24" s="989"/>
      <c r="D24" s="989"/>
      <c r="E24" s="989"/>
      <c r="F24" s="989"/>
      <c r="M24" s="695"/>
    </row>
    <row r="25" spans="2:26" s="653" customFormat="1" ht="25" customHeight="1">
      <c r="B25" s="444" t="s">
        <v>9</v>
      </c>
      <c r="C25" s="11" t="s">
        <v>10</v>
      </c>
      <c r="D25" s="11" t="s">
        <v>11</v>
      </c>
      <c r="E25" s="131" t="s">
        <v>552</v>
      </c>
      <c r="F25" s="131" t="s">
        <v>13</v>
      </c>
      <c r="G25" s="131" t="s">
        <v>553</v>
      </c>
      <c r="H25" s="696"/>
      <c r="I25" s="697" t="s">
        <v>554</v>
      </c>
      <c r="J25" s="696"/>
      <c r="K25" s="866" t="s">
        <v>17</v>
      </c>
      <c r="M25" s="670"/>
      <c r="N25" s="1"/>
      <c r="O25" s="1"/>
      <c r="P25" s="689"/>
      <c r="Q25" s="689"/>
      <c r="R25" s="698"/>
    </row>
    <row r="26" spans="2:26" s="682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920">
        <f t="shared" ref="F26:F37" si="0">G26/720</f>
        <v>6.133333333333333E-2</v>
      </c>
      <c r="G26" s="920">
        <f t="shared" ref="G26:G37" si="1">C26*IAAS_vcpu_EUR+D26*IAAS_ram_EUR+E26*IAAS_nvme_EUR</f>
        <v>44.16</v>
      </c>
      <c r="H26" s="44"/>
      <c r="I26" s="701"/>
      <c r="J26" s="44"/>
      <c r="K26" s="922">
        <f t="shared" ref="K26:K37" si="2">ROUNDUP(I26*G26,2)</f>
        <v>0</v>
      </c>
      <c r="M26" s="702"/>
      <c r="P26" s="689"/>
      <c r="R26" s="689"/>
    </row>
    <row r="27" spans="2:26" s="682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921">
        <f t="shared" si="0"/>
        <v>0.11244444444444443</v>
      </c>
      <c r="G27" s="921">
        <f t="shared" si="1"/>
        <v>80.959999999999994</v>
      </c>
      <c r="H27" s="46"/>
      <c r="I27" s="701"/>
      <c r="J27" s="46"/>
      <c r="K27" s="923">
        <f t="shared" si="2"/>
        <v>0</v>
      </c>
      <c r="M27" s="702"/>
      <c r="P27" s="689"/>
      <c r="R27" s="689"/>
    </row>
    <row r="28" spans="2:26" s="682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920">
        <f t="shared" si="0"/>
        <v>0.17633333333333331</v>
      </c>
      <c r="G28" s="920">
        <f t="shared" si="1"/>
        <v>126.96</v>
      </c>
      <c r="H28" s="44"/>
      <c r="I28" s="701"/>
      <c r="J28" s="44"/>
      <c r="K28" s="922">
        <f t="shared" si="2"/>
        <v>0</v>
      </c>
      <c r="M28" s="702"/>
      <c r="P28" s="689"/>
      <c r="R28" s="689"/>
    </row>
    <row r="29" spans="2:26" s="682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921">
        <f t="shared" si="0"/>
        <v>0.10988888888888887</v>
      </c>
      <c r="G29" s="921">
        <f t="shared" si="1"/>
        <v>79.11999999999999</v>
      </c>
      <c r="H29" s="46"/>
      <c r="I29" s="701"/>
      <c r="J29" s="46"/>
      <c r="K29" s="923">
        <f t="shared" si="2"/>
        <v>0</v>
      </c>
      <c r="M29" s="702"/>
      <c r="P29" s="689"/>
      <c r="R29" s="689"/>
    </row>
    <row r="30" spans="2:26" s="682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920">
        <f t="shared" si="0"/>
        <v>0.16099999999999998</v>
      </c>
      <c r="G30" s="920">
        <f t="shared" si="1"/>
        <v>115.91999999999999</v>
      </c>
      <c r="H30" s="44"/>
      <c r="I30" s="701"/>
      <c r="J30" s="44"/>
      <c r="K30" s="922">
        <f t="shared" si="2"/>
        <v>0</v>
      </c>
      <c r="M30" s="702"/>
      <c r="P30" s="689"/>
      <c r="R30" s="689"/>
    </row>
    <row r="31" spans="2:26" s="682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921">
        <f t="shared" si="0"/>
        <v>0.22488888888888886</v>
      </c>
      <c r="G31" s="921">
        <f t="shared" si="1"/>
        <v>161.91999999999999</v>
      </c>
      <c r="H31" s="46"/>
      <c r="I31" s="701"/>
      <c r="J31" s="46"/>
      <c r="K31" s="923">
        <f t="shared" si="2"/>
        <v>0</v>
      </c>
      <c r="M31" s="702"/>
      <c r="P31" s="689"/>
      <c r="R31" s="689"/>
    </row>
    <row r="32" spans="2:26" s="682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920">
        <f t="shared" si="0"/>
        <v>0.20699999999999996</v>
      </c>
      <c r="G32" s="920">
        <f t="shared" si="1"/>
        <v>149.03999999999996</v>
      </c>
      <c r="H32" s="44"/>
      <c r="I32" s="701"/>
      <c r="J32" s="44"/>
      <c r="K32" s="922">
        <f t="shared" si="2"/>
        <v>0</v>
      </c>
      <c r="M32" s="702"/>
      <c r="P32" s="689"/>
      <c r="R32" s="689"/>
    </row>
    <row r="33" spans="2:18" s="682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921">
        <f t="shared" si="0"/>
        <v>0.25811111111111107</v>
      </c>
      <c r="G33" s="921">
        <f t="shared" si="1"/>
        <v>185.83999999999997</v>
      </c>
      <c r="H33" s="46"/>
      <c r="I33" s="701"/>
      <c r="J33" s="46"/>
      <c r="K33" s="923">
        <f t="shared" si="2"/>
        <v>0</v>
      </c>
      <c r="M33" s="702"/>
      <c r="P33" s="689"/>
      <c r="R33" s="689"/>
    </row>
    <row r="34" spans="2:18" s="682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920">
        <f t="shared" si="0"/>
        <v>0.32199999999999995</v>
      </c>
      <c r="G34" s="920">
        <f t="shared" si="1"/>
        <v>231.83999999999997</v>
      </c>
      <c r="H34" s="44"/>
      <c r="I34" s="701"/>
      <c r="J34" s="44"/>
      <c r="K34" s="922">
        <f t="shared" si="2"/>
        <v>0</v>
      </c>
      <c r="M34" s="702"/>
      <c r="P34" s="689"/>
      <c r="R34" s="689"/>
    </row>
    <row r="35" spans="2:18" s="682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921">
        <f t="shared" si="0"/>
        <v>0.40122222222222215</v>
      </c>
      <c r="G35" s="921">
        <f t="shared" si="1"/>
        <v>288.87999999999994</v>
      </c>
      <c r="H35" s="46"/>
      <c r="I35" s="701"/>
      <c r="J35" s="46"/>
      <c r="K35" s="923">
        <f t="shared" si="2"/>
        <v>0</v>
      </c>
      <c r="M35" s="702"/>
      <c r="P35" s="689"/>
      <c r="R35" s="689"/>
    </row>
    <row r="36" spans="2:18" s="682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920">
        <f t="shared" si="0"/>
        <v>0.45233333333333325</v>
      </c>
      <c r="G36" s="920">
        <f t="shared" si="1"/>
        <v>325.67999999999995</v>
      </c>
      <c r="H36" s="44"/>
      <c r="I36" s="701"/>
      <c r="J36" s="44"/>
      <c r="K36" s="922">
        <f t="shared" si="2"/>
        <v>0</v>
      </c>
      <c r="M36" s="702"/>
      <c r="P36" s="689"/>
      <c r="R36" s="689"/>
    </row>
    <row r="37" spans="2:18" s="682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921">
        <f t="shared" si="0"/>
        <v>0.51622222222222214</v>
      </c>
      <c r="G37" s="921">
        <f t="shared" si="1"/>
        <v>371.67999999999995</v>
      </c>
      <c r="H37" s="46"/>
      <c r="I37" s="701"/>
      <c r="J37" s="46"/>
      <c r="K37" s="923">
        <f t="shared" si="2"/>
        <v>0</v>
      </c>
      <c r="M37" s="702"/>
      <c r="P37" s="689"/>
      <c r="R37" s="689"/>
    </row>
    <row r="38" spans="2:18" s="903" customFormat="1" ht="25" customHeight="1">
      <c r="B38" s="899" t="s">
        <v>30</v>
      </c>
      <c r="C38" s="900" cm="1">
        <f t="array" ref="C38">SUM(C26:C37*I26:I37)</f>
        <v>0</v>
      </c>
      <c r="D38" s="900" cm="1">
        <f t="array" ref="D38">SUM(D26:D37*I26:I37)</f>
        <v>0</v>
      </c>
      <c r="E38" s="925" cm="1">
        <f t="array" ref="E38">SUM(E26:E37*I26:I37)</f>
        <v>0</v>
      </c>
      <c r="F38" s="900"/>
      <c r="G38" s="900"/>
      <c r="H38" s="900"/>
      <c r="I38" s="900">
        <f>SUM(I26:I37)</f>
        <v>0</v>
      </c>
      <c r="J38" s="900"/>
      <c r="K38" s="924">
        <f>SUM(K26:K37)</f>
        <v>0</v>
      </c>
      <c r="M38" s="904"/>
      <c r="P38" s="905"/>
      <c r="R38" s="905"/>
    </row>
    <row r="39" spans="2:18" s="682" customFormat="1" ht="25" customHeight="1">
      <c r="B39" s="448"/>
      <c r="C39" s="705"/>
      <c r="D39" s="705"/>
      <c r="E39" s="706"/>
      <c r="F39" s="707"/>
      <c r="G39" s="708"/>
      <c r="H39" s="709"/>
      <c r="I39" s="710"/>
      <c r="J39" s="711"/>
      <c r="K39" s="869"/>
      <c r="M39" s="702"/>
      <c r="P39" s="689"/>
      <c r="R39" s="689"/>
    </row>
    <row r="40" spans="2:18" s="682" customFormat="1" ht="25" customHeight="1">
      <c r="B40" s="448"/>
      <c r="C40" s="705"/>
      <c r="D40" s="705"/>
      <c r="E40" s="706"/>
      <c r="F40" s="707"/>
      <c r="G40" s="708"/>
      <c r="H40" s="709"/>
      <c r="I40" s="710"/>
      <c r="J40" s="711"/>
      <c r="K40" s="869"/>
      <c r="M40" s="702"/>
      <c r="P40" s="689"/>
      <c r="R40" s="689"/>
    </row>
    <row r="41" spans="2:18" ht="25" customHeight="1">
      <c r="B41" s="449"/>
      <c r="C41" s="17"/>
      <c r="D41" s="17"/>
      <c r="E41" s="17"/>
      <c r="F41" s="17"/>
      <c r="G41" s="713"/>
      <c r="H41" s="714"/>
      <c r="I41" s="714"/>
      <c r="J41" s="17"/>
      <c r="K41" s="870"/>
      <c r="M41" s="670"/>
      <c r="P41" s="689"/>
      <c r="Q41" s="689"/>
      <c r="R41" s="698"/>
    </row>
    <row r="42" spans="2:18" s="653" customFormat="1" ht="25" customHeight="1">
      <c r="B42" s="654" t="s">
        <v>604</v>
      </c>
      <c r="C42" s="652"/>
      <c r="D42" s="652"/>
      <c r="K42" s="871"/>
      <c r="M42" s="716"/>
    </row>
    <row r="43" spans="2:18" ht="25" customHeight="1">
      <c r="B43" s="989" t="s">
        <v>647</v>
      </c>
      <c r="C43" s="989"/>
      <c r="D43" s="989"/>
      <c r="E43" s="989"/>
      <c r="F43" s="989"/>
      <c r="M43" s="695"/>
    </row>
    <row r="44" spans="2:18" s="653" customFormat="1" ht="25" customHeight="1">
      <c r="B44" s="444" t="s">
        <v>9</v>
      </c>
      <c r="C44" s="11" t="s">
        <v>10</v>
      </c>
      <c r="D44" s="11" t="s">
        <v>11</v>
      </c>
      <c r="E44" s="131" t="s">
        <v>552</v>
      </c>
      <c r="F44" s="131" t="s">
        <v>13</v>
      </c>
      <c r="G44" s="131" t="s">
        <v>553</v>
      </c>
      <c r="H44" s="696"/>
      <c r="I44" s="697" t="s">
        <v>554</v>
      </c>
      <c r="J44" s="696"/>
      <c r="K44" s="866" t="s">
        <v>17</v>
      </c>
      <c r="M44" s="670"/>
      <c r="N44" s="1"/>
      <c r="O44" s="1"/>
      <c r="P44" s="689"/>
      <c r="Q44" s="689"/>
      <c r="R44" s="698"/>
    </row>
    <row r="45" spans="2:18" s="682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920">
        <f t="shared" ref="F45:F54" si="3">G45/720</f>
        <v>2.4277777777777773E-2</v>
      </c>
      <c r="G45" s="920">
        <f t="shared" ref="G45:G54" si="4">C45*IAAS_vcpu_EUR+D45*IAAS_ram_EUR+E45*IAAS_ssd_EUR</f>
        <v>17.479999999999997</v>
      </c>
      <c r="H45" s="44"/>
      <c r="I45" s="701"/>
      <c r="J45" s="44"/>
      <c r="K45" s="922">
        <f t="shared" ref="K45:K54" si="5">ROUNDUP(I45*G45,2)</f>
        <v>0</v>
      </c>
      <c r="M45" s="702"/>
      <c r="N45" s="720"/>
      <c r="O45" s="721"/>
    </row>
    <row r="46" spans="2:18" s="682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921">
        <f t="shared" si="3"/>
        <v>3.833333333333333E-2</v>
      </c>
      <c r="G46" s="921">
        <f t="shared" si="4"/>
        <v>27.599999999999998</v>
      </c>
      <c r="H46" s="46"/>
      <c r="I46" s="701"/>
      <c r="J46" s="46"/>
      <c r="K46" s="923">
        <f t="shared" si="5"/>
        <v>0</v>
      </c>
      <c r="L46" s="722"/>
      <c r="M46" s="702"/>
      <c r="N46" s="720"/>
      <c r="O46" s="721"/>
    </row>
    <row r="47" spans="2:18" s="682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920">
        <f t="shared" si="3"/>
        <v>4.8555555555555546E-2</v>
      </c>
      <c r="G47" s="920">
        <f t="shared" si="4"/>
        <v>34.959999999999994</v>
      </c>
      <c r="H47" s="44"/>
      <c r="I47" s="701"/>
      <c r="J47" s="44"/>
      <c r="K47" s="922">
        <f t="shared" si="5"/>
        <v>0</v>
      </c>
      <c r="L47" s="722"/>
      <c r="M47" s="702"/>
      <c r="N47" s="720"/>
      <c r="O47" s="721"/>
    </row>
    <row r="48" spans="2:18" s="682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921">
        <f t="shared" si="3"/>
        <v>7.6666666666666661E-2</v>
      </c>
      <c r="G48" s="921">
        <f t="shared" si="4"/>
        <v>55.199999999999996</v>
      </c>
      <c r="H48" s="46"/>
      <c r="I48" s="701"/>
      <c r="J48" s="46"/>
      <c r="K48" s="923">
        <f t="shared" si="5"/>
        <v>0</v>
      </c>
      <c r="L48" s="722"/>
      <c r="M48" s="702"/>
      <c r="N48" s="720"/>
      <c r="O48" s="957"/>
    </row>
    <row r="49" spans="1:20" s="682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920">
        <f t="shared" si="3"/>
        <v>9.7111111111111093E-2</v>
      </c>
      <c r="G49" s="920">
        <f t="shared" si="4"/>
        <v>69.919999999999987</v>
      </c>
      <c r="H49" s="44"/>
      <c r="I49" s="701"/>
      <c r="J49" s="44"/>
      <c r="K49" s="922">
        <f t="shared" si="5"/>
        <v>0</v>
      </c>
      <c r="L49" s="722"/>
      <c r="M49" s="702"/>
      <c r="N49" s="720"/>
    </row>
    <row r="50" spans="1:20" s="682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921">
        <f t="shared" si="3"/>
        <v>0.15333333333333332</v>
      </c>
      <c r="G50" s="921">
        <f t="shared" si="4"/>
        <v>110.39999999999999</v>
      </c>
      <c r="H50" s="46"/>
      <c r="I50" s="701"/>
      <c r="J50" s="46"/>
      <c r="K50" s="923">
        <f t="shared" si="5"/>
        <v>0</v>
      </c>
      <c r="L50" s="722"/>
      <c r="M50" s="702"/>
    </row>
    <row r="51" spans="1:20" s="682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920">
        <f t="shared" si="3"/>
        <v>0.19422222222222219</v>
      </c>
      <c r="G51" s="920">
        <f t="shared" si="4"/>
        <v>139.83999999999997</v>
      </c>
      <c r="H51" s="44"/>
      <c r="I51" s="701"/>
      <c r="J51" s="44"/>
      <c r="K51" s="922">
        <f t="shared" si="5"/>
        <v>0</v>
      </c>
      <c r="L51" s="722"/>
      <c r="M51" s="702"/>
    </row>
    <row r="52" spans="1:20" s="682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921">
        <f t="shared" si="3"/>
        <v>0.30666666666666664</v>
      </c>
      <c r="G52" s="921">
        <f t="shared" si="4"/>
        <v>220.79999999999998</v>
      </c>
      <c r="H52" s="46"/>
      <c r="I52" s="701"/>
      <c r="J52" s="46"/>
      <c r="K52" s="923">
        <f t="shared" si="5"/>
        <v>0</v>
      </c>
      <c r="L52" s="722"/>
      <c r="M52" s="702"/>
    </row>
    <row r="53" spans="1:20" s="682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920">
        <f t="shared" si="3"/>
        <v>0.38844444444444437</v>
      </c>
      <c r="G53" s="920">
        <f t="shared" si="4"/>
        <v>279.67999999999995</v>
      </c>
      <c r="H53" s="44"/>
      <c r="I53" s="701"/>
      <c r="J53" s="44"/>
      <c r="K53" s="922">
        <f t="shared" si="5"/>
        <v>0</v>
      </c>
      <c r="L53" s="722"/>
      <c r="M53" s="702"/>
      <c r="P53" s="689"/>
      <c r="Q53" s="689"/>
      <c r="R53" s="689"/>
    </row>
    <row r="54" spans="1:20" s="682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921">
        <f t="shared" si="3"/>
        <v>0.61333333333333329</v>
      </c>
      <c r="G54" s="921">
        <f t="shared" si="4"/>
        <v>441.59999999999997</v>
      </c>
      <c r="H54" s="46"/>
      <c r="I54" s="701"/>
      <c r="J54" s="46"/>
      <c r="K54" s="923">
        <f t="shared" si="5"/>
        <v>0</v>
      </c>
      <c r="L54" s="722"/>
      <c r="M54" s="702"/>
      <c r="P54" s="689"/>
      <c r="Q54" s="689"/>
      <c r="R54" s="689"/>
    </row>
    <row r="55" spans="1:20" s="903" customFormat="1" ht="25" customHeight="1">
      <c r="B55" s="899" t="s">
        <v>30</v>
      </c>
      <c r="C55" s="900" cm="1">
        <f t="array" ref="C55">SUM(b2_list_vCPU*b2_list_Antal_instanser)</f>
        <v>0</v>
      </c>
      <c r="D55" s="900" cm="1">
        <f t="array" ref="D55">SUM(b2_list_ram*b2_list_vCPU)</f>
        <v>0</v>
      </c>
      <c r="E55" s="906" t="s">
        <v>94</v>
      </c>
      <c r="F55" s="900"/>
      <c r="G55" s="900"/>
      <c r="H55" s="900"/>
      <c r="I55" s="900">
        <f>SUM(I45:I54)</f>
        <v>0</v>
      </c>
      <c r="J55" s="900"/>
      <c r="K55" s="927">
        <f>SUM(K45:K54)</f>
        <v>0</v>
      </c>
      <c r="M55" s="904"/>
      <c r="P55" s="905"/>
      <c r="R55" s="905"/>
    </row>
    <row r="56" spans="1:20" ht="25" customHeight="1">
      <c r="A56" s="682"/>
      <c r="B56" s="448"/>
      <c r="C56" s="19"/>
      <c r="D56" s="19"/>
      <c r="E56" s="19"/>
      <c r="F56" s="19"/>
      <c r="G56" s="708"/>
      <c r="H56" s="709"/>
      <c r="I56" s="712"/>
      <c r="J56" s="711"/>
      <c r="K56" s="869"/>
      <c r="M56" s="670"/>
      <c r="P56" s="689"/>
      <c r="Q56" s="689"/>
      <c r="R56" s="698"/>
    </row>
    <row r="57" spans="1:20" s="723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72"/>
      <c r="L57" s="724"/>
      <c r="M57" s="725"/>
      <c r="R57" s="726"/>
      <c r="S57" s="726"/>
      <c r="T57" s="727"/>
    </row>
    <row r="58" spans="1:20" ht="25" hidden="1" customHeight="1">
      <c r="B58" s="985" t="s">
        <v>538</v>
      </c>
      <c r="C58" s="985"/>
      <c r="D58" s="985"/>
      <c r="E58" s="985"/>
      <c r="M58" s="695"/>
    </row>
    <row r="59" spans="1:20" s="728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7" t="s">
        <v>212</v>
      </c>
      <c r="J59" s="696"/>
      <c r="K59" s="866" t="s">
        <v>215</v>
      </c>
      <c r="L59" s="729"/>
      <c r="M59" s="730"/>
      <c r="Q59" s="731"/>
      <c r="R59" s="731"/>
      <c r="S59" s="732"/>
    </row>
    <row r="60" spans="1:20" s="682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33">
        <f t="shared" ref="G60:G63" si="6">H60/720</f>
        <v>9.6527777777777786</v>
      </c>
      <c r="H60" s="700">
        <f>C60*IAAS_vcpu_SEK+D60*IAAS_ram_SEK+E60*IAAS_nvme_SEK+F60*IAAS_gpu_SEK</f>
        <v>6950</v>
      </c>
      <c r="I60" s="956"/>
      <c r="J60" s="14"/>
      <c r="K60" s="867">
        <f>ROUNDUP(I60*H60,2)</f>
        <v>0</v>
      </c>
      <c r="M60" s="702"/>
      <c r="P60" s="689"/>
      <c r="R60" s="689"/>
    </row>
    <row r="61" spans="1:20" s="682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34">
        <f t="shared" si="6"/>
        <v>19.305555555555557</v>
      </c>
      <c r="H61" s="704">
        <f>C61*IAAS_vcpu_SEK+D61*IAAS_ram_SEK+E61*IAAS_nvme_SEK+F61*IAAS_gpu_SEK</f>
        <v>13900</v>
      </c>
      <c r="I61" s="956"/>
      <c r="J61" s="16"/>
      <c r="K61" s="868">
        <f>ROUNDUP(I61*H61,2)</f>
        <v>0</v>
      </c>
      <c r="M61" s="702"/>
      <c r="P61" s="689"/>
      <c r="R61" s="689"/>
    </row>
    <row r="62" spans="1:20" s="682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33">
        <f t="shared" si="6"/>
        <v>38.611111111111114</v>
      </c>
      <c r="H62" s="700">
        <f>C62*IAAS_vcpu_SEK+D62*IAAS_ram_SEK+E62*IAAS_nvme_SEK+F62*IAAS_gpu_SEK</f>
        <v>27800</v>
      </c>
      <c r="I62" s="956"/>
      <c r="J62" s="14"/>
      <c r="K62" s="867">
        <f>ROUNDUP(I62*H62,2)</f>
        <v>0</v>
      </c>
      <c r="M62" s="702"/>
      <c r="P62" s="689"/>
      <c r="R62" s="689"/>
    </row>
    <row r="63" spans="1:20" s="682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34">
        <f t="shared" si="6"/>
        <v>60.555555555555557</v>
      </c>
      <c r="H63" s="704">
        <f>C63*IAAS_vcpu_SEK+D63*IAAS_ram_SEK+E63*IAAS_nvme_SEK+F63*IAAS_gpu_SEK</f>
        <v>43600</v>
      </c>
      <c r="I63" s="956"/>
      <c r="J63" s="16"/>
      <c r="K63" s="868">
        <f>ROUNDUP(I63*H63,2)</f>
        <v>0</v>
      </c>
      <c r="M63" s="702"/>
      <c r="P63" s="689"/>
      <c r="R63" s="689"/>
    </row>
    <row r="64" spans="1:20" s="903" customFormat="1" ht="25" hidden="1" customHeight="1">
      <c r="B64" s="899" t="s">
        <v>222</v>
      </c>
      <c r="C64" s="900" t="str" cm="1">
        <f t="array" ref="C64">SUM(I60:I63*C60:C63)&amp;" st"</f>
        <v>0 st</v>
      </c>
      <c r="D64" s="900" t="str" cm="1">
        <f t="array" ref="D64">SUM(I60:I63*D60:D63)&amp;" GB"</f>
        <v>0 GB</v>
      </c>
      <c r="E64" s="901" t="str" cm="1">
        <f t="array" ref="E64">SUM(I60:I63*E60:E63)&amp;" GB"</f>
        <v>0 GB</v>
      </c>
      <c r="F64" s="901" t="str" cm="1">
        <f t="array" ref="F64">SUM(I60:I63*F60:F63)&amp;" st"</f>
        <v>0 st</v>
      </c>
      <c r="G64" s="900"/>
      <c r="H64" s="900"/>
      <c r="I64" s="900" t="str">
        <f>SUM(I60:I63)&amp;" st"</f>
        <v>0 st</v>
      </c>
      <c r="J64" s="900"/>
      <c r="K64" s="902">
        <f>SUM(K60:K63)</f>
        <v>0</v>
      </c>
      <c r="M64" s="904"/>
      <c r="P64" s="905"/>
      <c r="R64" s="905"/>
    </row>
    <row r="65" spans="2:20" s="682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73"/>
      <c r="M65" s="702"/>
      <c r="P65" s="689"/>
      <c r="R65" s="689"/>
    </row>
    <row r="66" spans="2:20" s="682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73"/>
      <c r="M66" s="702"/>
      <c r="P66" s="689"/>
      <c r="R66" s="689"/>
    </row>
    <row r="67" spans="2:20" s="691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73"/>
      <c r="M67" s="692"/>
      <c r="N67" s="8"/>
      <c r="O67" s="8"/>
      <c r="P67" s="693"/>
      <c r="Q67" s="8"/>
      <c r="R67" s="694"/>
    </row>
    <row r="68" spans="2:20" ht="25" hidden="1" customHeight="1">
      <c r="B68" s="985" t="s">
        <v>538</v>
      </c>
      <c r="C68" s="985"/>
      <c r="D68" s="985"/>
      <c r="E68" s="985"/>
      <c r="M68" s="695"/>
    </row>
    <row r="69" spans="2:20" s="728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6"/>
      <c r="I69" s="697" t="s">
        <v>366</v>
      </c>
      <c r="J69" s="696"/>
      <c r="K69" s="866" t="s">
        <v>215</v>
      </c>
      <c r="L69" s="729"/>
      <c r="M69" s="730"/>
      <c r="Q69" s="731"/>
      <c r="R69" s="731"/>
      <c r="S69" s="732"/>
    </row>
    <row r="70" spans="2:20" s="682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38">
        <f t="shared" ref="F70:F72" si="7">G70/720</f>
        <v>9.5</v>
      </c>
      <c r="G70" s="739">
        <f>INSTANCE_p1.2xlarge.16d_SEK</f>
        <v>6840</v>
      </c>
      <c r="H70" s="14"/>
      <c r="I70" s="956"/>
      <c r="J70" s="14"/>
      <c r="K70" s="867">
        <f>ROUNDUP(I70*G70,2)</f>
        <v>0</v>
      </c>
      <c r="L70" s="8"/>
      <c r="M70" s="702"/>
    </row>
    <row r="71" spans="2:20" s="682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40">
        <f t="shared" si="7"/>
        <v>19</v>
      </c>
      <c r="G71" s="96">
        <f>INSTANCE_p1.4xlarge.16d_SEK</f>
        <v>13680</v>
      </c>
      <c r="H71" s="16"/>
      <c r="I71" s="956"/>
      <c r="J71" s="16"/>
      <c r="K71" s="868">
        <f>ROUNDUP(I71*G71,2)</f>
        <v>0</v>
      </c>
      <c r="L71" s="8"/>
      <c r="M71" s="702"/>
      <c r="S71" s="689"/>
    </row>
    <row r="72" spans="2:20" s="736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41">
        <f t="shared" si="7"/>
        <v>38</v>
      </c>
      <c r="G72" s="739">
        <f>INSTANCE_p1.8xlarge.32d_SEK</f>
        <v>27360</v>
      </c>
      <c r="H72" s="14"/>
      <c r="I72" s="956"/>
      <c r="J72" s="14"/>
      <c r="K72" s="867">
        <f>ROUNDUP(I72*G72,2)</f>
        <v>0</v>
      </c>
      <c r="L72" s="742"/>
      <c r="M72" s="735"/>
    </row>
    <row r="73" spans="2:20" s="903" customFormat="1" ht="25" hidden="1" customHeight="1">
      <c r="B73" s="899" t="s">
        <v>222</v>
      </c>
      <c r="C73" s="900" t="str" cm="1">
        <f t="array" ref="C73">SUM(I70:I72*C70:C72)&amp;" st"</f>
        <v>0 st</v>
      </c>
      <c r="D73" s="900" t="str" cm="1">
        <f t="array" ref="D73">SUM(I70:I72*D70:D72)&amp;" GB"</f>
        <v>0 GB</v>
      </c>
      <c r="E73" s="901" t="str" cm="1">
        <f t="array" ref="E73">SUM(I70:I72*E70:E72)&amp;" GB"</f>
        <v>0 GB</v>
      </c>
      <c r="F73" s="900"/>
      <c r="G73" s="900"/>
      <c r="H73" s="900"/>
      <c r="I73" s="900" t="str">
        <f>SUM(I70:I72)&amp;" st"</f>
        <v>0 st</v>
      </c>
      <c r="J73" s="900"/>
      <c r="K73" s="902">
        <f>SUM(K70:K72)</f>
        <v>0</v>
      </c>
      <c r="M73" s="904"/>
      <c r="P73" s="905"/>
      <c r="R73" s="905"/>
    </row>
    <row r="74" spans="2:20" ht="25" customHeight="1">
      <c r="B74" s="452"/>
      <c r="C74" s="76"/>
      <c r="D74" s="76"/>
      <c r="E74" s="76"/>
      <c r="F74" s="76"/>
      <c r="G74" s="76"/>
      <c r="H74" s="736"/>
      <c r="I74" s="710"/>
      <c r="J74" s="710"/>
      <c r="K74" s="874"/>
      <c r="L74" s="712"/>
      <c r="M74" s="670"/>
    </row>
    <row r="75" spans="2:20" s="682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73"/>
      <c r="L75" s="737"/>
      <c r="M75" s="702"/>
      <c r="Q75" s="689"/>
      <c r="S75" s="689"/>
    </row>
    <row r="76" spans="2:20" ht="25" customHeight="1">
      <c r="B76" s="651" t="s">
        <v>555</v>
      </c>
      <c r="C76" s="22"/>
      <c r="D76" s="22"/>
      <c r="E76" s="22"/>
      <c r="F76" s="22"/>
      <c r="G76" s="22"/>
      <c r="H76" s="8"/>
      <c r="I76" s="8"/>
      <c r="J76" s="8"/>
      <c r="K76" s="873"/>
      <c r="L76" s="737"/>
      <c r="M76" s="670"/>
      <c r="N76" s="682"/>
      <c r="O76" s="682"/>
      <c r="P76" s="682"/>
      <c r="Q76" s="682"/>
      <c r="R76" s="689"/>
      <c r="S76" s="682"/>
      <c r="T76" s="698"/>
    </row>
    <row r="77" spans="2:20" ht="25" customHeight="1">
      <c r="B77" s="630" t="s">
        <v>551</v>
      </c>
      <c r="M77" s="695"/>
    </row>
    <row r="78" spans="2:20" s="745" customFormat="1" ht="25" customHeight="1">
      <c r="B78" s="444" t="s">
        <v>9</v>
      </c>
      <c r="C78" s="24" t="s">
        <v>64</v>
      </c>
      <c r="D78" s="24"/>
      <c r="E78" s="24"/>
      <c r="F78" s="132" t="s">
        <v>13</v>
      </c>
      <c r="G78" s="131" t="s">
        <v>553</v>
      </c>
      <c r="H78" s="24"/>
      <c r="I78" s="743" t="s">
        <v>561</v>
      </c>
      <c r="J78" s="24"/>
      <c r="K78" s="614" t="s">
        <v>83</v>
      </c>
      <c r="L78" s="719"/>
      <c r="M78" s="744"/>
      <c r="N78" s="719"/>
      <c r="R78" s="746"/>
      <c r="S78" s="746"/>
      <c r="T78" s="747"/>
    </row>
    <row r="79" spans="2:20" s="682" customFormat="1" ht="25" customHeight="1">
      <c r="B79" s="134" t="s">
        <v>491</v>
      </c>
      <c r="C79" s="39" t="s">
        <v>68</v>
      </c>
      <c r="D79" s="78"/>
      <c r="E79" s="78"/>
      <c r="F79" s="932">
        <f>G79/720</f>
        <v>1.5333333333333334E-4</v>
      </c>
      <c r="G79" s="933">
        <f>VOLUME_large_EUR</f>
        <v>0.1104</v>
      </c>
      <c r="H79" s="748"/>
      <c r="I79" s="749"/>
      <c r="J79" s="399"/>
      <c r="K79" s="928">
        <f>ROUNDUP(I79*G79,2)</f>
        <v>0</v>
      </c>
      <c r="L79" s="8"/>
      <c r="M79" s="702"/>
    </row>
    <row r="80" spans="2:20" s="682" customFormat="1" ht="25" customHeight="1">
      <c r="B80" s="137" t="s">
        <v>492</v>
      </c>
      <c r="C80" s="41" t="s">
        <v>71</v>
      </c>
      <c r="D80" s="79"/>
      <c r="E80" s="79"/>
      <c r="F80" s="934">
        <f>G80/720</f>
        <v>4.6000000000000001E-4</v>
      </c>
      <c r="G80" s="935">
        <f>VOLUME_fast_EUR</f>
        <v>0.33119999999999999</v>
      </c>
      <c r="H80" s="751"/>
      <c r="I80" s="753"/>
      <c r="J80" s="754"/>
      <c r="K80" s="929">
        <f>ROUNDUP(I80*G80,2)</f>
        <v>0</v>
      </c>
      <c r="L80" s="8"/>
      <c r="M80" s="702"/>
      <c r="T80" s="689"/>
    </row>
    <row r="81" spans="2:20" s="682" customFormat="1" ht="25" customHeight="1">
      <c r="B81" s="134" t="s">
        <v>493</v>
      </c>
      <c r="C81" s="39" t="s">
        <v>434</v>
      </c>
      <c r="D81" s="78"/>
      <c r="E81" s="78"/>
      <c r="F81" s="932">
        <f>G81/720</f>
        <v>1.5333333333333334E-4</v>
      </c>
      <c r="G81" s="933">
        <f>VOLUME_large_EUR</f>
        <v>0.1104</v>
      </c>
      <c r="H81" s="755"/>
      <c r="I81" s="749"/>
      <c r="J81" s="399"/>
      <c r="K81" s="928">
        <f>ROUNDUP(I81*G81,2)</f>
        <v>0</v>
      </c>
      <c r="L81" s="8"/>
      <c r="M81" s="702"/>
    </row>
    <row r="82" spans="2:20" s="903" customFormat="1" ht="25" customHeight="1">
      <c r="B82" s="899" t="s">
        <v>30</v>
      </c>
      <c r="C82" s="900"/>
      <c r="D82" s="900"/>
      <c r="E82" s="900"/>
      <c r="F82" s="900"/>
      <c r="G82" s="900"/>
      <c r="H82" s="900"/>
      <c r="I82" s="900" t="str">
        <f>SUM(I79:I81)&amp;" GB"</f>
        <v>0 GB</v>
      </c>
      <c r="J82" s="900"/>
      <c r="K82" s="926">
        <f>SUM(K79:K81)</f>
        <v>0</v>
      </c>
      <c r="M82" s="904"/>
      <c r="P82" s="905"/>
      <c r="R82" s="905"/>
    </row>
    <row r="83" spans="2:20" ht="25" customHeight="1">
      <c r="B83" s="452"/>
      <c r="C83" s="76"/>
      <c r="D83" s="76"/>
      <c r="E83" s="76"/>
      <c r="F83" s="76"/>
      <c r="G83" s="76"/>
      <c r="H83" s="736"/>
      <c r="I83" s="756"/>
      <c r="J83" s="756"/>
      <c r="K83" s="875"/>
      <c r="L83" s="758"/>
      <c r="M83" s="670"/>
    </row>
    <row r="84" spans="2:20" s="4" customFormat="1" ht="25" customHeight="1">
      <c r="B84" s="452"/>
      <c r="C84" s="76"/>
      <c r="D84" s="76"/>
      <c r="E84" s="76"/>
      <c r="F84" s="76"/>
      <c r="G84" s="76"/>
      <c r="H84" s="756"/>
      <c r="I84" s="756"/>
      <c r="J84" s="756"/>
      <c r="K84" s="876"/>
      <c r="L84" s="757"/>
      <c r="M84" s="674"/>
    </row>
    <row r="85" spans="2:20" s="4" customFormat="1" ht="25" customHeight="1">
      <c r="B85" s="967" t="s">
        <v>669</v>
      </c>
      <c r="C85" s="967"/>
      <c r="D85" s="967"/>
      <c r="E85" s="967"/>
      <c r="F85" s="967"/>
      <c r="G85" s="967"/>
      <c r="H85" s="679"/>
      <c r="J85" s="681"/>
      <c r="K85" s="862"/>
      <c r="M85" s="674"/>
    </row>
    <row r="86" spans="2:20" s="4" customFormat="1" ht="25" customHeight="1">
      <c r="B86" s="967"/>
      <c r="C86" s="967"/>
      <c r="D86" s="967"/>
      <c r="E86" s="967"/>
      <c r="F86" s="967"/>
      <c r="G86" s="967"/>
      <c r="H86" s="679"/>
      <c r="J86" s="681"/>
      <c r="K86" s="862"/>
      <c r="M86" s="674"/>
    </row>
    <row r="87" spans="2:20" s="4" customFormat="1" ht="25" customHeight="1">
      <c r="B87" s="967"/>
      <c r="C87" s="967"/>
      <c r="D87" s="967"/>
      <c r="E87" s="967"/>
      <c r="F87" s="967"/>
      <c r="G87" s="967"/>
      <c r="H87" s="679"/>
      <c r="J87" s="681"/>
      <c r="K87" s="862"/>
      <c r="M87" s="674"/>
    </row>
    <row r="88" spans="2:20" s="4" customFormat="1" ht="25" customHeight="1">
      <c r="B88" s="551" t="s">
        <v>556</v>
      </c>
      <c r="C88" s="551"/>
      <c r="D88" s="551"/>
      <c r="E88" s="551"/>
      <c r="F88" s="551"/>
      <c r="H88" s="679"/>
      <c r="J88" s="681"/>
      <c r="K88" s="862"/>
      <c r="M88" s="688"/>
    </row>
    <row r="89" spans="2:20" s="505" customFormat="1" ht="25" customHeight="1">
      <c r="B89" s="465" t="s">
        <v>557</v>
      </c>
      <c r="C89" s="465"/>
      <c r="D89" s="465"/>
      <c r="E89" s="465"/>
      <c r="F89" s="465"/>
      <c r="G89" s="759"/>
      <c r="H89" s="760"/>
      <c r="I89" s="759"/>
      <c r="J89" s="761"/>
      <c r="K89" s="877"/>
      <c r="L89" s="759"/>
      <c r="M89" s="762"/>
    </row>
    <row r="90" spans="2:20" s="4" customFormat="1" ht="25" customHeight="1">
      <c r="B90" s="552" t="s">
        <v>558</v>
      </c>
      <c r="C90" s="74"/>
      <c r="D90" s="74"/>
      <c r="E90" s="74"/>
      <c r="F90" s="133"/>
      <c r="G90" s="684"/>
      <c r="H90" s="685"/>
      <c r="I90" s="684"/>
      <c r="J90" s="686"/>
      <c r="K90" s="863"/>
      <c r="L90" s="763"/>
      <c r="M90" s="702"/>
      <c r="O90" s="682"/>
      <c r="P90" s="682"/>
    </row>
    <row r="91" spans="2:20" s="682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73"/>
      <c r="L91" s="737"/>
      <c r="M91" s="702"/>
      <c r="R91" s="689"/>
      <c r="T91" s="689"/>
    </row>
    <row r="92" spans="2:20" s="4" customFormat="1" ht="25" customHeight="1">
      <c r="B92" s="444" t="s">
        <v>9</v>
      </c>
      <c r="C92" s="10"/>
      <c r="D92" s="131"/>
      <c r="E92" s="131"/>
      <c r="F92" s="24"/>
      <c r="G92" s="131" t="s">
        <v>559</v>
      </c>
      <c r="H92" s="24"/>
      <c r="I92" s="743" t="s">
        <v>560</v>
      </c>
      <c r="J92" s="131"/>
      <c r="K92" s="614" t="s">
        <v>83</v>
      </c>
      <c r="L92" s="687"/>
      <c r="M92" s="702"/>
      <c r="N92" s="682"/>
    </row>
    <row r="93" spans="2:20" s="769" customFormat="1" ht="25" customHeight="1">
      <c r="B93" s="445" t="s">
        <v>535</v>
      </c>
      <c r="C93" s="78"/>
      <c r="D93" s="524"/>
      <c r="E93" s="524"/>
      <c r="F93" s="765"/>
      <c r="G93" s="936">
        <f>S3_archive.50_EUR</f>
        <v>32.200000000000003</v>
      </c>
      <c r="H93" s="765"/>
      <c r="I93" s="766"/>
      <c r="J93" s="767"/>
      <c r="K93" s="928">
        <f>I93*G93</f>
        <v>0</v>
      </c>
      <c r="L93" s="768"/>
      <c r="M93" s="702"/>
      <c r="N93" s="736"/>
    </row>
    <row r="94" spans="2:20" s="682" customFormat="1" ht="25" customHeight="1">
      <c r="B94" s="137" t="s">
        <v>494</v>
      </c>
      <c r="C94" s="41"/>
      <c r="D94" s="79"/>
      <c r="E94" s="79"/>
      <c r="F94" s="751"/>
      <c r="G94" s="931">
        <f>S3_storage50_EUR</f>
        <v>46</v>
      </c>
      <c r="H94" s="752"/>
      <c r="I94" s="770"/>
      <c r="J94" s="754"/>
      <c r="K94" s="929">
        <f>I94*G94</f>
        <v>0</v>
      </c>
      <c r="L94" s="8"/>
      <c r="M94" s="702"/>
      <c r="T94" s="689"/>
    </row>
    <row r="95" spans="2:20" s="903" customFormat="1" ht="25" customHeight="1">
      <c r="B95" s="899" t="s">
        <v>30</v>
      </c>
      <c r="C95" s="900"/>
      <c r="D95" s="900"/>
      <c r="E95" s="900"/>
      <c r="F95" s="900"/>
      <c r="G95" s="900"/>
      <c r="H95" s="900"/>
      <c r="I95" s="900"/>
      <c r="J95" s="900"/>
      <c r="K95" s="926">
        <f>SUM(K93:K94)</f>
        <v>0</v>
      </c>
      <c r="M95" s="904"/>
      <c r="P95" s="905"/>
      <c r="R95" s="905"/>
    </row>
    <row r="96" spans="2:20" ht="25" customHeight="1">
      <c r="B96" s="449"/>
      <c r="C96" s="17"/>
      <c r="D96" s="17"/>
      <c r="E96" s="17"/>
      <c r="F96" s="17"/>
      <c r="G96" s="713"/>
      <c r="H96" s="714"/>
      <c r="I96" s="714"/>
      <c r="M96" s="670"/>
      <c r="N96" s="689"/>
      <c r="O96" s="689"/>
      <c r="P96" s="698"/>
    </row>
    <row r="97" spans="2:26" s="723" customFormat="1" ht="25" hidden="1" customHeight="1">
      <c r="B97" s="416" t="s">
        <v>422</v>
      </c>
      <c r="C97" s="771"/>
      <c r="D97" s="771"/>
      <c r="E97" s="771"/>
      <c r="F97" s="771"/>
      <c r="G97" s="771"/>
      <c r="H97" s="27"/>
      <c r="I97" s="27"/>
      <c r="J97" s="27"/>
      <c r="K97" s="873"/>
      <c r="M97" s="670"/>
      <c r="N97" s="27"/>
      <c r="O97" s="27"/>
      <c r="P97" s="726"/>
      <c r="Q97" s="27"/>
      <c r="R97" s="727"/>
    </row>
    <row r="98" spans="2:26" s="4" customFormat="1" ht="25" hidden="1" customHeight="1">
      <c r="B98" s="444" t="s">
        <v>208</v>
      </c>
      <c r="C98" s="10" t="s">
        <v>224</v>
      </c>
      <c r="D98" s="981" t="s">
        <v>225</v>
      </c>
      <c r="E98" s="981"/>
      <c r="F98" s="981"/>
      <c r="G98" s="981"/>
      <c r="H98" s="981"/>
      <c r="I98" s="981"/>
      <c r="J98" s="131"/>
      <c r="K98" s="614"/>
      <c r="L98" s="687"/>
      <c r="M98" s="725"/>
      <c r="N98" s="682"/>
    </row>
    <row r="99" spans="2:26" s="769" customFormat="1" ht="25" hidden="1" customHeight="1">
      <c r="B99" s="466" t="s">
        <v>423</v>
      </c>
      <c r="C99" s="82"/>
      <c r="D99" s="25"/>
      <c r="E99" s="772" cm="1">
        <f t="array" ref="E99">_xlfn.IFS(H99&lt;50,D100,H99&lt;100,D101,H99&lt;500,D102,H99&lt;1000,D103,H99&gt;999,D104)</f>
        <v>185</v>
      </c>
      <c r="F99" s="772"/>
      <c r="G99" s="772"/>
      <c r="H99" s="958">
        <v>600</v>
      </c>
      <c r="I99" s="774" t="s">
        <v>84</v>
      </c>
      <c r="J99" s="775"/>
      <c r="K99" s="596" cm="1">
        <f t="array" ref="K99">_xlfn.IFS(H99&lt;1000,ROUNDUP(H99*E99,2),H99&gt;999,E99)</f>
        <v>111000</v>
      </c>
      <c r="L99" s="768"/>
      <c r="M99" s="702"/>
      <c r="N99" s="736"/>
    </row>
    <row r="100" spans="2:26" s="4" customFormat="1" ht="25" hidden="1" customHeight="1">
      <c r="B100" s="605" t="s">
        <v>423</v>
      </c>
      <c r="C100" s="606" t="s">
        <v>429</v>
      </c>
      <c r="D100" s="980">
        <f>S3_archive.50_SEK</f>
        <v>350</v>
      </c>
      <c r="E100" s="980"/>
      <c r="F100" s="980"/>
      <c r="G100" s="980"/>
      <c r="H100" s="980"/>
      <c r="I100" s="980"/>
      <c r="J100" s="916"/>
      <c r="K100" s="878"/>
      <c r="L100" s="687"/>
      <c r="M100" s="735"/>
      <c r="N100" s="682"/>
    </row>
    <row r="101" spans="2:26" s="4" customFormat="1" ht="25" hidden="1" customHeight="1">
      <c r="B101" s="617" t="s">
        <v>423</v>
      </c>
      <c r="C101" s="618" t="s">
        <v>430</v>
      </c>
      <c r="D101" s="978">
        <f>S3_archive.100_SEK</f>
        <v>270</v>
      </c>
      <c r="E101" s="978"/>
      <c r="F101" s="978"/>
      <c r="G101" s="978"/>
      <c r="H101" s="978"/>
      <c r="I101" s="978"/>
      <c r="J101" s="918"/>
      <c r="K101" s="879"/>
      <c r="L101" s="687"/>
      <c r="M101" s="702"/>
      <c r="N101" s="682"/>
    </row>
    <row r="102" spans="2:26" s="4" customFormat="1" ht="25" hidden="1" customHeight="1">
      <c r="B102" s="605" t="s">
        <v>423</v>
      </c>
      <c r="C102" s="606" t="s">
        <v>431</v>
      </c>
      <c r="D102" s="969">
        <f>S3_archive.500_SEK</f>
        <v>200</v>
      </c>
      <c r="E102" s="969"/>
      <c r="F102" s="969"/>
      <c r="G102" s="969"/>
      <c r="H102" s="969"/>
      <c r="I102" s="969"/>
      <c r="J102" s="919"/>
      <c r="K102" s="880"/>
      <c r="L102" s="687"/>
      <c r="M102" s="702"/>
      <c r="N102" s="682"/>
    </row>
    <row r="103" spans="2:26" s="4" customFormat="1" ht="25" hidden="1" customHeight="1">
      <c r="B103" s="617" t="s">
        <v>423</v>
      </c>
      <c r="C103" s="618" t="s">
        <v>432</v>
      </c>
      <c r="D103" s="978">
        <f>S3_archive.1000_SEK</f>
        <v>185</v>
      </c>
      <c r="E103" s="978"/>
      <c r="F103" s="978"/>
      <c r="G103" s="978"/>
      <c r="H103" s="978"/>
      <c r="I103" s="978"/>
      <c r="J103" s="918"/>
      <c r="K103" s="879"/>
      <c r="L103" s="687"/>
      <c r="M103" s="702"/>
      <c r="N103" s="682"/>
    </row>
    <row r="104" spans="2:26" s="4" customFormat="1" ht="25" hidden="1" customHeight="1">
      <c r="B104" s="609" t="s">
        <v>423</v>
      </c>
      <c r="C104" s="610" t="s">
        <v>433</v>
      </c>
      <c r="D104" s="979" t="str">
        <f>S3_archive.quote_SEK</f>
        <v>Be om offert</v>
      </c>
      <c r="E104" s="979"/>
      <c r="F104" s="979"/>
      <c r="G104" s="979"/>
      <c r="H104" s="979"/>
      <c r="I104" s="979"/>
      <c r="J104" s="917"/>
      <c r="K104" s="881"/>
      <c r="L104" s="687"/>
      <c r="M104" s="702"/>
      <c r="N104" s="682"/>
    </row>
    <row r="105" spans="2:26" s="4" customFormat="1" ht="25" hidden="1" customHeight="1">
      <c r="B105" s="448" t="s">
        <v>85</v>
      </c>
      <c r="C105" s="19"/>
      <c r="D105" s="19"/>
      <c r="E105" s="19"/>
      <c r="F105" s="708"/>
      <c r="G105" s="708"/>
      <c r="H105" s="709"/>
      <c r="I105" s="709"/>
      <c r="J105" s="776"/>
      <c r="K105" s="869">
        <f>K99</f>
        <v>111000</v>
      </c>
      <c r="L105" s="687"/>
      <c r="M105" s="702"/>
      <c r="N105" s="682"/>
    </row>
    <row r="106" spans="2:26" s="728" customFormat="1" ht="25" customHeight="1">
      <c r="B106" s="465"/>
      <c r="C106" s="19"/>
      <c r="D106" s="133"/>
      <c r="E106" s="133"/>
      <c r="F106" s="133"/>
      <c r="G106" s="684"/>
      <c r="H106" s="685"/>
      <c r="I106" s="709"/>
      <c r="J106" s="763"/>
      <c r="K106" s="863"/>
      <c r="L106" s="687"/>
      <c r="M106" s="702"/>
      <c r="N106" s="745"/>
      <c r="O106" s="745"/>
      <c r="P106" s="745"/>
      <c r="Q106" s="745"/>
      <c r="R106" s="745"/>
      <c r="S106" s="745"/>
    </row>
    <row r="107" spans="2:26" ht="25" customHeight="1">
      <c r="B107" s="639"/>
      <c r="C107" s="26"/>
      <c r="D107" s="26"/>
      <c r="E107" s="26"/>
      <c r="F107" s="777"/>
      <c r="G107" s="778"/>
      <c r="H107" s="756"/>
      <c r="I107" s="756"/>
      <c r="J107" s="779"/>
      <c r="K107" s="875"/>
      <c r="L107" s="758"/>
      <c r="M107" s="702"/>
      <c r="N107" s="682"/>
      <c r="Q107" s="4"/>
    </row>
    <row r="108" spans="2:26" s="4" customFormat="1" ht="25" customHeight="1">
      <c r="B108" s="967" t="s">
        <v>670</v>
      </c>
      <c r="C108" s="967"/>
      <c r="D108" s="967"/>
      <c r="E108" s="967"/>
      <c r="F108" s="967"/>
      <c r="G108" s="967"/>
      <c r="H108" s="679"/>
      <c r="J108" s="681"/>
      <c r="K108" s="862"/>
      <c r="L108" s="681"/>
      <c r="M108" s="674"/>
    </row>
    <row r="109" spans="2:26" s="4" customFormat="1" ht="25" customHeight="1">
      <c r="B109" s="967"/>
      <c r="C109" s="967"/>
      <c r="D109" s="967"/>
      <c r="E109" s="967"/>
      <c r="F109" s="967"/>
      <c r="G109" s="967"/>
      <c r="H109" s="679"/>
      <c r="J109" s="681"/>
      <c r="K109" s="862"/>
      <c r="L109" s="681"/>
      <c r="M109" s="674"/>
    </row>
    <row r="110" spans="2:26" s="4" customFormat="1" ht="25" customHeight="1">
      <c r="B110" s="967"/>
      <c r="C110" s="967"/>
      <c r="D110" s="967"/>
      <c r="E110" s="967"/>
      <c r="F110" s="967"/>
      <c r="G110" s="967"/>
      <c r="H110" s="679"/>
      <c r="J110" s="681"/>
      <c r="K110" s="862"/>
      <c r="L110" s="681"/>
      <c r="M110" s="674"/>
    </row>
    <row r="111" spans="2:26" s="4" customFormat="1" ht="25" customHeight="1">
      <c r="B111" s="551" t="s">
        <v>536</v>
      </c>
      <c r="C111" s="551"/>
      <c r="D111" s="551"/>
      <c r="E111" s="551"/>
      <c r="F111" s="551"/>
      <c r="H111" s="679"/>
      <c r="J111" s="681"/>
      <c r="K111" s="862"/>
      <c r="L111" s="681"/>
      <c r="M111" s="688"/>
    </row>
    <row r="112" spans="2:26" s="4" customFormat="1" ht="25" customHeight="1">
      <c r="B112" s="465" t="s">
        <v>6</v>
      </c>
      <c r="C112" s="465"/>
      <c r="D112" s="465"/>
      <c r="E112" s="465"/>
      <c r="F112" s="465"/>
      <c r="G112" s="684"/>
      <c r="H112" s="685"/>
      <c r="J112" s="686"/>
      <c r="K112" s="863"/>
      <c r="L112" s="687"/>
      <c r="M112" s="674"/>
      <c r="S112" s="682"/>
      <c r="T112" s="682"/>
      <c r="U112" s="682"/>
      <c r="V112" s="682"/>
      <c r="W112" s="682"/>
      <c r="X112" s="682"/>
      <c r="Y112" s="682"/>
      <c r="Z112" s="682"/>
    </row>
    <row r="113" spans="2:32" s="4" customFormat="1" ht="25" customHeight="1">
      <c r="B113" s="552" t="s">
        <v>558</v>
      </c>
      <c r="C113" s="74"/>
      <c r="D113" s="74"/>
      <c r="E113" s="74"/>
      <c r="F113" s="133"/>
      <c r="G113" s="684"/>
      <c r="H113" s="685"/>
      <c r="I113" s="684"/>
      <c r="J113" s="686"/>
      <c r="K113" s="863"/>
      <c r="L113" s="763"/>
      <c r="M113" s="702"/>
      <c r="O113" s="682"/>
      <c r="P113" s="682"/>
    </row>
    <row r="114" spans="2:32" s="728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73"/>
      <c r="L114" s="8"/>
      <c r="M114" s="780"/>
      <c r="P114" s="745"/>
      <c r="Q114" s="745"/>
      <c r="R114" s="745"/>
      <c r="S114" s="745"/>
      <c r="T114" s="745"/>
      <c r="U114" s="745"/>
    </row>
    <row r="115" spans="2:32" ht="25" customHeight="1">
      <c r="B115" s="444" t="s">
        <v>9</v>
      </c>
      <c r="C115" s="788"/>
      <c r="D115" s="788"/>
      <c r="E115" s="131" t="s">
        <v>562</v>
      </c>
      <c r="F115" s="788"/>
      <c r="G115" s="131" t="s">
        <v>563</v>
      </c>
      <c r="H115" s="24"/>
      <c r="I115" s="743" t="s">
        <v>561</v>
      </c>
      <c r="J115" s="743" t="s">
        <v>564</v>
      </c>
      <c r="K115" s="614" t="s">
        <v>605</v>
      </c>
      <c r="L115" s="737"/>
      <c r="M115" s="959" t="s">
        <v>565</v>
      </c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937">
        <f>BAAS_on.demand_EUR</f>
        <v>0.22540000000000002</v>
      </c>
      <c r="H116" s="399"/>
      <c r="I116" s="766"/>
      <c r="J116" s="908" t="s">
        <v>94</v>
      </c>
      <c r="K116" s="928">
        <f>ROUNDUP(I116*G116,2)</f>
        <v>0</v>
      </c>
      <c r="L116" s="737"/>
      <c r="M116" s="855" t="s">
        <v>566</v>
      </c>
    </row>
    <row r="117" spans="2:32" ht="25" customHeight="1">
      <c r="B117" s="137" t="s">
        <v>496</v>
      </c>
      <c r="C117" s="79"/>
      <c r="D117" s="79"/>
      <c r="E117" s="946">
        <f>BAAS_small.fee_EUR</f>
        <v>506</v>
      </c>
      <c r="F117" s="754"/>
      <c r="G117" s="938">
        <f>BAAS_small_EUR</f>
        <v>0.161</v>
      </c>
      <c r="H117" s="754"/>
      <c r="I117" s="783"/>
      <c r="J117" s="784">
        <v>0.75</v>
      </c>
      <c r="K117" s="929">
        <f>IF(I117&gt;0,$E$117+($G$117*(I117*(1-$J$117))),0)</f>
        <v>0</v>
      </c>
      <c r="L117" s="737"/>
      <c r="M117" s="856" t="s">
        <v>567</v>
      </c>
    </row>
    <row r="118" spans="2:32" s="785" customFormat="1" ht="25" customHeight="1">
      <c r="B118" s="466" t="s">
        <v>497</v>
      </c>
      <c r="C118" s="82"/>
      <c r="D118" s="82"/>
      <c r="E118" s="947">
        <f>BAAS_large.fee_EUR</f>
        <v>874</v>
      </c>
      <c r="F118" s="774"/>
      <c r="G118" s="937">
        <f>BAAS_large_EUR</f>
        <v>8.4640000000000007E-2</v>
      </c>
      <c r="H118" s="774"/>
      <c r="I118" s="773"/>
      <c r="J118" s="786">
        <v>0.75</v>
      </c>
      <c r="K118" s="582">
        <f>IF(I118&gt;0,$E$118+($G$118*(I118*(1-$J$118))),0)</f>
        <v>0</v>
      </c>
      <c r="L118" s="737"/>
      <c r="M118" s="855" t="s">
        <v>568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903" customFormat="1" ht="25" customHeight="1">
      <c r="B119" s="899" t="s">
        <v>30</v>
      </c>
      <c r="C119" s="900"/>
      <c r="D119" s="900"/>
      <c r="E119" s="900"/>
      <c r="F119" s="900"/>
      <c r="G119" s="900"/>
      <c r="H119" s="900"/>
      <c r="I119" s="900" t="str">
        <f>SUM(I116:I118)&amp;" GB"</f>
        <v>0 GB</v>
      </c>
      <c r="J119" s="900"/>
      <c r="K119" s="926">
        <f>SUM(K116:K118)</f>
        <v>0</v>
      </c>
      <c r="M119" s="904"/>
      <c r="P119" s="905"/>
      <c r="R119" s="905"/>
    </row>
    <row r="120" spans="2:32" s="785" customFormat="1" ht="25" customHeight="1">
      <c r="B120" s="448"/>
      <c r="C120" s="19"/>
      <c r="D120" s="19"/>
      <c r="E120" s="19"/>
      <c r="F120" s="907"/>
      <c r="G120" s="709"/>
      <c r="H120" s="709"/>
      <c r="I120" s="709"/>
      <c r="J120" s="709"/>
      <c r="K120" s="882"/>
      <c r="L120" s="776"/>
      <c r="M120" s="787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77"/>
      <c r="G121" s="778"/>
      <c r="H121" s="756"/>
      <c r="I121" s="756"/>
      <c r="J121" s="779"/>
      <c r="K121" s="875"/>
      <c r="L121" s="768"/>
      <c r="M121" s="780"/>
      <c r="N121" s="682"/>
    </row>
    <row r="122" spans="2:32" ht="25" customHeight="1">
      <c r="B122" s="639"/>
      <c r="C122" s="26"/>
      <c r="D122" s="26"/>
      <c r="E122" s="26"/>
      <c r="F122" s="777"/>
      <c r="G122" s="778"/>
      <c r="H122" s="756"/>
      <c r="I122" s="756"/>
      <c r="J122" s="779"/>
      <c r="K122" s="875"/>
      <c r="L122" s="758"/>
      <c r="M122" s="702"/>
      <c r="N122" s="682"/>
      <c r="Q122" s="4"/>
    </row>
    <row r="123" spans="2:32" s="4" customFormat="1" ht="25" customHeight="1">
      <c r="B123" s="967" t="s">
        <v>442</v>
      </c>
      <c r="C123" s="967"/>
      <c r="D123" s="967"/>
      <c r="E123" s="967"/>
      <c r="F123" s="967"/>
      <c r="G123" s="967"/>
      <c r="H123" s="679"/>
      <c r="J123" s="681"/>
      <c r="K123" s="862"/>
      <c r="L123" s="681"/>
      <c r="M123" s="674"/>
    </row>
    <row r="124" spans="2:32" s="4" customFormat="1" ht="25" customHeight="1">
      <c r="B124" s="967"/>
      <c r="C124" s="967"/>
      <c r="D124" s="967"/>
      <c r="E124" s="967"/>
      <c r="F124" s="967"/>
      <c r="G124" s="967"/>
      <c r="H124" s="679"/>
      <c r="J124" s="681"/>
      <c r="K124" s="862"/>
      <c r="L124" s="681"/>
      <c r="M124" s="674"/>
    </row>
    <row r="125" spans="2:32" s="4" customFormat="1" ht="25" customHeight="1">
      <c r="B125" s="967"/>
      <c r="C125" s="967"/>
      <c r="D125" s="967"/>
      <c r="E125" s="967"/>
      <c r="F125" s="967"/>
      <c r="G125" s="967"/>
      <c r="H125" s="679"/>
      <c r="J125" s="681"/>
      <c r="K125" s="862"/>
      <c r="L125" s="681"/>
      <c r="M125" s="674"/>
    </row>
    <row r="126" spans="2:32" s="4" customFormat="1" ht="25" customHeight="1">
      <c r="B126" s="551" t="s">
        <v>569</v>
      </c>
      <c r="C126" s="6"/>
      <c r="D126" s="6"/>
      <c r="E126" s="6"/>
      <c r="F126" s="6"/>
      <c r="H126" s="679"/>
      <c r="J126" s="681"/>
      <c r="K126" s="862"/>
      <c r="L126" s="681"/>
      <c r="M126" s="688"/>
    </row>
    <row r="127" spans="2:32" s="4" customFormat="1" ht="25" customHeight="1">
      <c r="B127" s="465" t="s">
        <v>663</v>
      </c>
      <c r="C127" s="465"/>
      <c r="D127" s="465"/>
      <c r="E127" s="465"/>
      <c r="F127" s="465"/>
      <c r="G127" s="684"/>
      <c r="H127" s="685"/>
      <c r="J127" s="686"/>
      <c r="K127" s="863"/>
      <c r="L127" s="687"/>
      <c r="M127" s="674"/>
      <c r="S127" s="682"/>
      <c r="T127" s="682"/>
      <c r="U127" s="682"/>
      <c r="V127" s="682"/>
      <c r="W127" s="682"/>
      <c r="X127" s="682"/>
      <c r="Y127" s="682"/>
      <c r="Z127" s="682"/>
    </row>
    <row r="128" spans="2:32" s="4" customFormat="1" ht="25" customHeight="1">
      <c r="B128" s="552" t="s">
        <v>558</v>
      </c>
      <c r="C128" s="74"/>
      <c r="D128" s="74"/>
      <c r="E128" s="74"/>
      <c r="F128" s="133"/>
      <c r="G128" s="684"/>
      <c r="H128" s="685"/>
      <c r="I128" s="684"/>
      <c r="J128" s="686"/>
      <c r="K128" s="863"/>
      <c r="L128" s="763"/>
      <c r="M128" s="702"/>
      <c r="O128" s="682"/>
      <c r="P128" s="682"/>
    </row>
    <row r="129" spans="2:32" s="728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73"/>
      <c r="L129" s="8"/>
      <c r="M129" s="780"/>
      <c r="P129" s="745"/>
      <c r="Q129" s="745"/>
      <c r="R129" s="745"/>
      <c r="S129" s="745"/>
      <c r="T129" s="745"/>
      <c r="U129" s="745"/>
    </row>
    <row r="130" spans="2:32" ht="25" customHeight="1">
      <c r="B130" s="444" t="s">
        <v>9</v>
      </c>
      <c r="C130" s="968" t="s">
        <v>570</v>
      </c>
      <c r="D130" s="968"/>
      <c r="E130" s="968" t="s">
        <v>571</v>
      </c>
      <c r="F130" s="968"/>
      <c r="G130" s="990" t="s">
        <v>562</v>
      </c>
      <c r="H130" s="990"/>
      <c r="I130" s="24"/>
      <c r="J130" s="24"/>
      <c r="K130" s="614" t="s">
        <v>92</v>
      </c>
      <c r="L130" s="737"/>
      <c r="M130" s="960"/>
    </row>
    <row r="131" spans="2:32" ht="25" customHeight="1">
      <c r="B131" s="853" t="s">
        <v>498</v>
      </c>
      <c r="C131" s="974" t="s">
        <v>575</v>
      </c>
      <c r="D131" s="974"/>
      <c r="E131" s="976" t="s">
        <v>574</v>
      </c>
      <c r="F131" s="976"/>
      <c r="G131" s="944">
        <f>PAAS_man.kubernetes_EUR</f>
        <v>2208</v>
      </c>
      <c r="H131" s="942"/>
      <c r="I131" s="766"/>
      <c r="J131" s="962">
        <v>2</v>
      </c>
      <c r="K131" s="940" t="str">
        <f>IF(J131=1,G131," ")</f>
        <v xml:space="preserve"> </v>
      </c>
      <c r="L131" s="737"/>
      <c r="M131" s="789"/>
    </row>
    <row r="132" spans="2:32" ht="25" customHeight="1">
      <c r="B132" s="137" t="s">
        <v>499</v>
      </c>
      <c r="C132" s="975" t="s">
        <v>572</v>
      </c>
      <c r="D132" s="975"/>
      <c r="E132" s="977" t="s">
        <v>573</v>
      </c>
      <c r="F132" s="977"/>
      <c r="G132" s="945">
        <f>PAAS_man.kubernetes8_EUR</f>
        <v>1380</v>
      </c>
      <c r="H132" s="943"/>
      <c r="I132" s="770"/>
      <c r="J132" s="754"/>
      <c r="K132" s="941" t="str">
        <f>IF(J131=3,G132," ")</f>
        <v xml:space="preserve"> </v>
      </c>
      <c r="L132" s="737"/>
      <c r="M132" s="790"/>
    </row>
    <row r="133" spans="2:32" s="903" customFormat="1" ht="25" customHeight="1">
      <c r="B133" s="899" t="s">
        <v>30</v>
      </c>
      <c r="C133" s="900"/>
      <c r="D133" s="900"/>
      <c r="E133" s="900"/>
      <c r="F133" s="900"/>
      <c r="G133" s="900"/>
      <c r="H133" s="900"/>
      <c r="I133" s="961"/>
      <c r="J133" s="900"/>
      <c r="K133" s="926">
        <f>SUM(K131:K132)</f>
        <v>0</v>
      </c>
      <c r="M133" s="904"/>
      <c r="P133" s="905"/>
      <c r="R133" s="905"/>
    </row>
    <row r="134" spans="2:32" s="785" customFormat="1" ht="25" customHeight="1">
      <c r="B134" s="448"/>
      <c r="C134" s="709"/>
      <c r="D134" s="708"/>
      <c r="E134" s="708"/>
      <c r="F134" s="708"/>
      <c r="G134" s="709"/>
      <c r="H134" s="709"/>
      <c r="I134" s="709"/>
      <c r="J134" s="709"/>
      <c r="K134" s="869"/>
      <c r="L134" s="737"/>
      <c r="M134" s="787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85" customFormat="1" ht="25" customHeight="1">
      <c r="B135" s="448"/>
      <c r="C135" s="19"/>
      <c r="D135" s="19"/>
      <c r="E135" s="19"/>
      <c r="F135" s="708"/>
      <c r="G135" s="709"/>
      <c r="H135" s="709"/>
      <c r="I135" s="709"/>
      <c r="J135" s="709"/>
      <c r="K135" s="882"/>
      <c r="L135" s="776"/>
      <c r="M135" s="787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8" customFormat="1" ht="25" customHeight="1">
      <c r="B136" s="465"/>
      <c r="C136" s="19"/>
      <c r="D136" s="133"/>
      <c r="E136" s="133"/>
      <c r="F136" s="133"/>
      <c r="G136" s="684"/>
      <c r="H136" s="685"/>
      <c r="I136" s="684"/>
      <c r="J136" s="763"/>
      <c r="K136" s="863"/>
      <c r="L136" s="687"/>
      <c r="M136" s="702"/>
      <c r="N136" s="745"/>
      <c r="O136" s="745"/>
      <c r="P136" s="745"/>
      <c r="Q136" s="745"/>
      <c r="R136" s="745"/>
      <c r="S136" s="745"/>
    </row>
    <row r="137" spans="2:32" s="4" customFormat="1" ht="25" customHeight="1">
      <c r="B137" s="967" t="s">
        <v>100</v>
      </c>
      <c r="C137" s="967"/>
      <c r="D137" s="967"/>
      <c r="E137" s="967"/>
      <c r="F137" s="967"/>
      <c r="G137" s="967"/>
      <c r="H137" s="679"/>
      <c r="J137" s="681"/>
      <c r="K137" s="862"/>
      <c r="M137" s="702"/>
    </row>
    <row r="138" spans="2:32" s="4" customFormat="1" ht="25" customHeight="1">
      <c r="B138" s="967"/>
      <c r="C138" s="967"/>
      <c r="D138" s="967"/>
      <c r="E138" s="967"/>
      <c r="F138" s="967"/>
      <c r="G138" s="967"/>
      <c r="H138" s="679"/>
      <c r="J138" s="681"/>
      <c r="K138" s="862"/>
      <c r="M138" s="702"/>
    </row>
    <row r="139" spans="2:32" s="4" customFormat="1" ht="25" customHeight="1">
      <c r="B139" s="967"/>
      <c r="C139" s="967"/>
      <c r="D139" s="967"/>
      <c r="E139" s="967"/>
      <c r="F139" s="967"/>
      <c r="G139" s="967"/>
      <c r="H139" s="679"/>
      <c r="J139" s="681"/>
      <c r="K139" s="862"/>
      <c r="M139" s="702"/>
    </row>
    <row r="140" spans="2:32" s="4" customFormat="1" ht="25" customHeight="1">
      <c r="B140" s="465" t="s">
        <v>6</v>
      </c>
      <c r="C140" s="465"/>
      <c r="D140" s="465"/>
      <c r="E140" s="465"/>
      <c r="F140" s="465"/>
      <c r="G140" s="684"/>
      <c r="H140" s="685"/>
      <c r="J140" s="686"/>
      <c r="K140" s="863"/>
      <c r="L140" s="687"/>
      <c r="M140" s="674"/>
      <c r="S140" s="682"/>
      <c r="T140" s="682"/>
      <c r="U140" s="682"/>
      <c r="V140" s="682"/>
      <c r="W140" s="682"/>
      <c r="X140" s="682"/>
      <c r="Y140" s="682"/>
      <c r="Z140" s="682"/>
    </row>
    <row r="141" spans="2:32" s="4" customFormat="1" ht="25" customHeight="1">
      <c r="B141" s="465"/>
      <c r="C141" s="133"/>
      <c r="D141" s="133"/>
      <c r="E141" s="133"/>
      <c r="F141" s="133"/>
      <c r="G141" s="684"/>
      <c r="H141" s="685"/>
      <c r="I141" s="684"/>
      <c r="J141" s="686"/>
      <c r="K141" s="863"/>
      <c r="L141" s="684"/>
      <c r="M141" s="702"/>
    </row>
    <row r="142" spans="2:32" s="8" customFormat="1" ht="25" customHeight="1">
      <c r="B142" s="651" t="s">
        <v>101</v>
      </c>
      <c r="C142" s="133"/>
      <c r="D142" s="133"/>
      <c r="E142" s="133"/>
      <c r="F142" s="133"/>
      <c r="G142" s="684"/>
      <c r="H142" s="684"/>
      <c r="I142" s="684"/>
      <c r="J142" s="686"/>
      <c r="K142" s="863"/>
      <c r="L142" s="684"/>
      <c r="M142" s="702"/>
      <c r="N142" s="682"/>
      <c r="O142" s="682"/>
      <c r="P142" s="682"/>
      <c r="Q142" s="682"/>
      <c r="R142" s="682"/>
      <c r="S142" s="682"/>
    </row>
    <row r="143" spans="2:32" ht="25" customHeight="1">
      <c r="B143" s="630" t="s">
        <v>576</v>
      </c>
      <c r="M143" s="695"/>
    </row>
    <row r="144" spans="2:32" ht="25" customHeight="1">
      <c r="B144" s="470" t="s">
        <v>9</v>
      </c>
      <c r="C144" s="23" t="s">
        <v>102</v>
      </c>
      <c r="D144" s="23"/>
      <c r="E144" s="24" t="s">
        <v>64</v>
      </c>
      <c r="F144" s="24"/>
      <c r="G144" s="24"/>
      <c r="H144" s="24"/>
      <c r="I144" s="24"/>
      <c r="J144" s="23" t="s">
        <v>577</v>
      </c>
      <c r="K144" s="614" t="s">
        <v>14</v>
      </c>
      <c r="L144" s="13"/>
      <c r="M144" s="702"/>
      <c r="N144" s="758"/>
      <c r="O144" s="8"/>
    </row>
    <row r="145" spans="2:18" ht="25" customHeight="1">
      <c r="B145" s="134" t="s">
        <v>500</v>
      </c>
      <c r="C145" s="129" t="s">
        <v>105</v>
      </c>
      <c r="D145" s="129"/>
      <c r="E145" s="39" t="s">
        <v>106</v>
      </c>
      <c r="F145" s="30"/>
      <c r="G145" s="30"/>
      <c r="H145" s="30"/>
      <c r="I145" s="30"/>
      <c r="J145" s="791" t="s">
        <v>578</v>
      </c>
      <c r="K145" s="948">
        <f>NET_publicv4_EUR</f>
        <v>2.2999999999999998</v>
      </c>
      <c r="M145" s="702"/>
      <c r="N145" s="758"/>
      <c r="O145" s="8"/>
    </row>
    <row r="146" spans="2:18" ht="25" customHeight="1">
      <c r="B146" s="137" t="s">
        <v>501</v>
      </c>
      <c r="C146" s="130" t="s">
        <v>109</v>
      </c>
      <c r="D146" s="130"/>
      <c r="E146" s="41" t="s">
        <v>106</v>
      </c>
      <c r="F146" s="792"/>
      <c r="G146" s="792"/>
      <c r="H146" s="792"/>
      <c r="I146" s="792"/>
      <c r="J146" s="793" t="s">
        <v>94</v>
      </c>
      <c r="K146" s="949">
        <f>NET_publicv6_EUR</f>
        <v>0</v>
      </c>
      <c r="M146" s="702"/>
      <c r="N146" s="758"/>
      <c r="O146" s="8"/>
    </row>
    <row r="147" spans="2:18" ht="25" customHeight="1">
      <c r="B147" s="134" t="s">
        <v>502</v>
      </c>
      <c r="C147" s="129" t="s">
        <v>111</v>
      </c>
      <c r="D147" s="129"/>
      <c r="E147" s="148"/>
      <c r="F147" s="37"/>
      <c r="G147" s="37"/>
      <c r="H147" s="37"/>
      <c r="I147" s="37"/>
      <c r="J147" s="791" t="s">
        <v>69</v>
      </c>
      <c r="K147" s="948">
        <f>NET_ingress_EUR</f>
        <v>0</v>
      </c>
      <c r="M147" s="702"/>
      <c r="N147" s="758"/>
      <c r="O147" s="8"/>
    </row>
    <row r="148" spans="2:18" ht="25" customHeight="1">
      <c r="B148" s="137" t="s">
        <v>503</v>
      </c>
      <c r="C148" s="130" t="s">
        <v>111</v>
      </c>
      <c r="D148" s="130"/>
      <c r="E148" s="41" t="s">
        <v>580</v>
      </c>
      <c r="F148" s="792"/>
      <c r="G148" s="792"/>
      <c r="H148" s="792"/>
      <c r="I148" s="792"/>
      <c r="J148" s="794" t="s">
        <v>69</v>
      </c>
      <c r="K148" s="949">
        <f>NET_egress_EUR</f>
        <v>2.3E-2</v>
      </c>
      <c r="M148" s="702"/>
      <c r="N148" s="758"/>
      <c r="O148" s="8"/>
    </row>
    <row r="149" spans="2:18" ht="25" customHeight="1">
      <c r="B149" s="134" t="s">
        <v>504</v>
      </c>
      <c r="C149" s="129" t="s">
        <v>115</v>
      </c>
      <c r="D149" s="129"/>
      <c r="E149" s="30" t="s">
        <v>579</v>
      </c>
      <c r="F149" s="37"/>
      <c r="G149" s="37"/>
      <c r="H149" s="37"/>
      <c r="I149" s="37"/>
      <c r="J149" s="791" t="s">
        <v>116</v>
      </c>
      <c r="K149" s="930" t="str">
        <f>NET_mgn.slb_EUR</f>
        <v>Request a quote</v>
      </c>
      <c r="M149" s="702"/>
    </row>
    <row r="150" spans="2:18" ht="25" customHeight="1">
      <c r="B150" s="137" t="s">
        <v>505</v>
      </c>
      <c r="C150" s="130" t="s">
        <v>118</v>
      </c>
      <c r="D150" s="130"/>
      <c r="E150" s="41"/>
      <c r="F150" s="792"/>
      <c r="G150" s="792"/>
      <c r="H150" s="792"/>
      <c r="I150" s="792"/>
      <c r="J150" s="793" t="s">
        <v>94</v>
      </c>
      <c r="K150" s="949">
        <f>NET_rdns_EUR</f>
        <v>0</v>
      </c>
      <c r="M150" s="702"/>
      <c r="N150" s="758"/>
      <c r="O150" s="8"/>
    </row>
    <row r="151" spans="2:18" ht="25" customHeight="1">
      <c r="B151" s="134" t="s">
        <v>506</v>
      </c>
      <c r="C151" s="129" t="s">
        <v>121</v>
      </c>
      <c r="D151" s="129"/>
      <c r="E151" s="30"/>
      <c r="F151" s="37"/>
      <c r="G151" s="37"/>
      <c r="H151" s="37"/>
      <c r="I151" s="37"/>
      <c r="J151" s="796" t="s">
        <v>94</v>
      </c>
      <c r="K151" s="948">
        <v>0</v>
      </c>
      <c r="M151" s="702"/>
      <c r="N151" s="758"/>
      <c r="O151" s="8"/>
    </row>
    <row r="152" spans="2:18" ht="25" customHeight="1">
      <c r="B152" s="641"/>
      <c r="C152" s="141"/>
      <c r="D152" s="142"/>
      <c r="E152" s="142"/>
      <c r="F152" s="142"/>
      <c r="G152" s="142"/>
      <c r="H152" s="142"/>
      <c r="I152" s="142"/>
      <c r="J152" s="141"/>
      <c r="K152" s="885"/>
      <c r="M152" s="702"/>
      <c r="N152" s="758"/>
      <c r="O152" s="8"/>
    </row>
    <row r="153" spans="2:18" ht="25" customHeight="1">
      <c r="C153" s="43"/>
      <c r="J153" s="43"/>
      <c r="M153" s="702"/>
      <c r="N153" s="758"/>
      <c r="O153" s="8"/>
    </row>
    <row r="154" spans="2:18" ht="25" customHeight="1">
      <c r="C154" s="43"/>
      <c r="J154" s="43"/>
      <c r="M154" s="702"/>
      <c r="N154" s="758"/>
      <c r="O154" s="8"/>
    </row>
    <row r="155" spans="2:18" ht="25" customHeight="1">
      <c r="B155" s="651" t="s">
        <v>581</v>
      </c>
      <c r="C155" s="13"/>
      <c r="D155" s="13"/>
      <c r="E155" s="13"/>
      <c r="F155" s="13"/>
      <c r="G155" s="13"/>
      <c r="H155" s="13"/>
      <c r="I155" s="13"/>
      <c r="J155" s="797"/>
      <c r="M155" s="702"/>
      <c r="N155" s="758"/>
      <c r="O155" s="8"/>
    </row>
    <row r="156" spans="2:18" ht="25" customHeight="1">
      <c r="B156" s="630" t="s">
        <v>582</v>
      </c>
      <c r="M156" s="695"/>
    </row>
    <row r="157" spans="2:18" ht="25" customHeight="1">
      <c r="B157" s="470" t="s">
        <v>9</v>
      </c>
      <c r="C157" s="23"/>
      <c r="D157" s="23"/>
      <c r="E157" s="24" t="s">
        <v>64</v>
      </c>
      <c r="F157" s="24"/>
      <c r="G157" s="24"/>
      <c r="H157" s="24"/>
      <c r="I157" s="24"/>
      <c r="J157" s="23" t="s">
        <v>577</v>
      </c>
      <c r="K157" s="614" t="s">
        <v>14</v>
      </c>
      <c r="M157" s="702"/>
      <c r="N157" s="758"/>
      <c r="O157" s="8"/>
    </row>
    <row r="158" spans="2:18" ht="25" customHeight="1">
      <c r="B158" s="134" t="s">
        <v>507</v>
      </c>
      <c r="C158" s="129"/>
      <c r="D158" s="30"/>
      <c r="E158" s="30" t="s">
        <v>123</v>
      </c>
      <c r="F158" s="30"/>
      <c r="G158" s="30"/>
      <c r="H158" s="30"/>
      <c r="I158" s="30"/>
      <c r="J158" s="791" t="s">
        <v>10</v>
      </c>
      <c r="K158" s="928">
        <f>SW_win.ser.201X_EUR</f>
        <v>7.1760000000000002</v>
      </c>
      <c r="L158" s="756"/>
      <c r="M158" s="702"/>
      <c r="N158" s="758"/>
      <c r="O158" s="8"/>
      <c r="Q158" s="682"/>
      <c r="R158" s="682"/>
    </row>
    <row r="159" spans="2:18" ht="25" customHeight="1">
      <c r="B159" s="137" t="s">
        <v>508</v>
      </c>
      <c r="C159" s="130"/>
      <c r="D159" s="38"/>
      <c r="E159" s="38" t="s">
        <v>125</v>
      </c>
      <c r="F159" s="792"/>
      <c r="G159" s="792"/>
      <c r="H159" s="792"/>
      <c r="I159" s="792"/>
      <c r="J159" s="794" t="s">
        <v>10</v>
      </c>
      <c r="K159" s="929">
        <f>SW_win.ser.201X_EUR</f>
        <v>7.1760000000000002</v>
      </c>
      <c r="L159" s="756"/>
      <c r="M159" s="702"/>
      <c r="N159" s="758"/>
      <c r="O159" s="8"/>
      <c r="Q159" s="682"/>
      <c r="R159" s="682"/>
    </row>
    <row r="160" spans="2:18" ht="25" customHeight="1">
      <c r="B160" s="134" t="s">
        <v>665</v>
      </c>
      <c r="C160" s="129"/>
      <c r="D160" s="30"/>
      <c r="E160" s="30" t="s">
        <v>666</v>
      </c>
      <c r="F160" s="30"/>
      <c r="G160" s="30"/>
      <c r="H160" s="30"/>
      <c r="I160" s="30"/>
      <c r="J160" s="791" t="s">
        <v>10</v>
      </c>
      <c r="K160" s="928">
        <f>SW_win.ser.201X_EUR</f>
        <v>7.1760000000000002</v>
      </c>
      <c r="L160" s="756"/>
      <c r="M160" s="702"/>
      <c r="N160" s="758"/>
      <c r="O160" s="8"/>
      <c r="Q160" s="682"/>
      <c r="R160" s="682"/>
    </row>
    <row r="161" spans="2:18" s="4" customFormat="1" ht="25" customHeight="1">
      <c r="B161" s="137" t="s">
        <v>509</v>
      </c>
      <c r="C161" s="130"/>
      <c r="D161" s="38"/>
      <c r="E161" s="38" t="s">
        <v>417</v>
      </c>
      <c r="F161" s="792"/>
      <c r="G161" s="792"/>
      <c r="H161" s="792"/>
      <c r="I161" s="792"/>
      <c r="J161" s="794" t="s">
        <v>10</v>
      </c>
      <c r="K161" s="929">
        <f>SW_ms.sql.ser_EUR</f>
        <v>137.816</v>
      </c>
      <c r="M161" s="702"/>
      <c r="N161" s="758"/>
      <c r="O161" s="8"/>
    </row>
    <row r="162" spans="2:18" ht="25" customHeight="1">
      <c r="B162" s="134" t="s">
        <v>510</v>
      </c>
      <c r="C162" s="129"/>
      <c r="D162" s="30"/>
      <c r="E162" s="30" t="s">
        <v>131</v>
      </c>
      <c r="F162" s="30"/>
      <c r="G162" s="30"/>
      <c r="H162" s="30"/>
      <c r="I162" s="30"/>
      <c r="J162" s="791" t="s">
        <v>94</v>
      </c>
      <c r="K162" s="965" t="str">
        <f>SW_nextcloud_EUR</f>
        <v>Request a quote</v>
      </c>
      <c r="L162" s="756"/>
      <c r="M162" s="702"/>
      <c r="N162" s="758"/>
      <c r="O162" s="8"/>
      <c r="Q162" s="682"/>
      <c r="R162" s="682"/>
    </row>
    <row r="163" spans="2:18" s="4" customFormat="1" ht="25" customHeight="1">
      <c r="B163" s="137" t="s">
        <v>511</v>
      </c>
      <c r="C163" s="130"/>
      <c r="D163" s="38"/>
      <c r="E163" s="38" t="s">
        <v>133</v>
      </c>
      <c r="F163" s="792"/>
      <c r="G163" s="792"/>
      <c r="H163" s="792"/>
      <c r="I163" s="792"/>
      <c r="J163" s="794" t="s">
        <v>94</v>
      </c>
      <c r="K163" s="966" t="str">
        <f>SW_suse_EUR</f>
        <v>Request a quote</v>
      </c>
      <c r="M163" s="702"/>
      <c r="N163" s="758"/>
      <c r="O163" s="8"/>
    </row>
    <row r="164" spans="2:18" ht="25" customHeight="1">
      <c r="B164" s="134" t="s">
        <v>512</v>
      </c>
      <c r="C164" s="129"/>
      <c r="D164" s="30"/>
      <c r="E164" s="30" t="s">
        <v>135</v>
      </c>
      <c r="F164" s="30"/>
      <c r="G164" s="30"/>
      <c r="H164" s="30"/>
      <c r="I164" s="30"/>
      <c r="J164" s="791" t="s">
        <v>94</v>
      </c>
      <c r="K164" s="965" t="str">
        <f>SW_cluster.control_EUR</f>
        <v>3x instance price</v>
      </c>
      <c r="M164" s="702"/>
      <c r="N164" s="758"/>
      <c r="O164" s="8"/>
    </row>
    <row r="165" spans="2:18" ht="25" customHeight="1">
      <c r="B165" s="137" t="s">
        <v>513</v>
      </c>
      <c r="C165" s="130"/>
      <c r="D165" s="38"/>
      <c r="E165" s="38" t="s">
        <v>137</v>
      </c>
      <c r="F165" s="792"/>
      <c r="G165" s="792"/>
      <c r="H165" s="792"/>
      <c r="I165" s="792"/>
      <c r="J165" s="794" t="s">
        <v>140</v>
      </c>
      <c r="K165" s="929">
        <f>SW_backup.ninja_EUR</f>
        <v>36.799999999999997</v>
      </c>
      <c r="M165" s="702"/>
      <c r="N165" s="758"/>
      <c r="O165" s="8"/>
    </row>
    <row r="166" spans="2:18" ht="25" customHeight="1">
      <c r="B166" s="106"/>
      <c r="C166" s="103"/>
      <c r="D166" s="104"/>
      <c r="E166" s="105"/>
      <c r="F166" s="798"/>
      <c r="G166" s="798"/>
      <c r="H166" s="798"/>
      <c r="I166" s="798"/>
      <c r="J166" s="799"/>
      <c r="K166" s="886"/>
      <c r="M166" s="702"/>
      <c r="N166" s="758"/>
      <c r="O166" s="8"/>
    </row>
    <row r="167" spans="2:18" ht="25" customHeight="1">
      <c r="B167" s="137"/>
      <c r="C167" s="130"/>
      <c r="D167" s="41"/>
      <c r="E167" s="31"/>
      <c r="F167" s="792"/>
      <c r="G167" s="792"/>
      <c r="H167" s="792"/>
      <c r="I167" s="792"/>
      <c r="J167" s="800"/>
      <c r="K167" s="556"/>
      <c r="M167" s="702"/>
      <c r="N167" s="758"/>
      <c r="O167" s="8"/>
    </row>
    <row r="168" spans="2:18" ht="25" customHeight="1">
      <c r="M168" s="702"/>
      <c r="N168" s="758"/>
      <c r="O168" s="8"/>
    </row>
    <row r="169" spans="2:18" ht="25" customHeight="1">
      <c r="B169" s="651" t="s">
        <v>139</v>
      </c>
      <c r="C169" s="13"/>
      <c r="D169" s="13"/>
      <c r="F169" s="13"/>
      <c r="G169" s="13"/>
      <c r="H169" s="13"/>
      <c r="I169" s="13"/>
      <c r="J169" s="13"/>
      <c r="M169" s="702"/>
      <c r="N169" s="758"/>
      <c r="O169" s="8"/>
    </row>
    <row r="170" spans="2:18" ht="25" customHeight="1">
      <c r="B170" s="630" t="s">
        <v>583</v>
      </c>
      <c r="M170" s="695"/>
    </row>
    <row r="171" spans="2:18" ht="25" customHeight="1">
      <c r="B171" s="470" t="s">
        <v>9</v>
      </c>
      <c r="C171" s="23"/>
      <c r="D171" s="23"/>
      <c r="E171" s="24" t="s">
        <v>64</v>
      </c>
      <c r="F171" s="24"/>
      <c r="G171" s="24"/>
      <c r="H171" s="24"/>
      <c r="I171" s="24"/>
      <c r="J171" s="131"/>
      <c r="K171" s="614" t="s">
        <v>14</v>
      </c>
      <c r="M171" s="702"/>
      <c r="N171" s="758"/>
      <c r="O171" s="8"/>
    </row>
    <row r="172" spans="2:18" ht="25" customHeight="1">
      <c r="B172" s="134" t="s">
        <v>499</v>
      </c>
      <c r="C172" s="129"/>
      <c r="D172" s="30"/>
      <c r="E172" s="30" t="s">
        <v>414</v>
      </c>
      <c r="F172" s="30"/>
      <c r="G172" s="30"/>
      <c r="H172" s="30"/>
      <c r="I172" s="30"/>
      <c r="J172" s="40"/>
      <c r="K172" s="950">
        <f>PAAS_man.kubernetes_EUR</f>
        <v>2208</v>
      </c>
      <c r="M172" s="702"/>
      <c r="N172" s="758"/>
      <c r="O172" s="8"/>
    </row>
    <row r="173" spans="2:18" ht="25" customHeight="1">
      <c r="B173" s="137" t="s">
        <v>514</v>
      </c>
      <c r="C173" s="130"/>
      <c r="D173" s="38"/>
      <c r="E173" s="38" t="s">
        <v>415</v>
      </c>
      <c r="F173" s="792"/>
      <c r="G173" s="792"/>
      <c r="H173" s="792"/>
      <c r="I173" s="792"/>
      <c r="J173" s="800"/>
      <c r="K173" s="929">
        <f>PAAS_man.postgres.sql_EUR</f>
        <v>1380</v>
      </c>
      <c r="M173" s="702"/>
      <c r="N173" s="758"/>
      <c r="O173" s="8"/>
    </row>
    <row r="174" spans="2:18" ht="25" customHeight="1">
      <c r="B174" s="134" t="s">
        <v>515</v>
      </c>
      <c r="C174" s="129"/>
      <c r="D174" s="30"/>
      <c r="E174" s="30" t="s">
        <v>416</v>
      </c>
      <c r="F174" s="30"/>
      <c r="G174" s="30"/>
      <c r="H174" s="30"/>
      <c r="I174" s="30"/>
      <c r="J174" s="40"/>
      <c r="K174" s="928" t="str">
        <f>PAAS_man.elasticsearch_EUR</f>
        <v>Requests for quotation</v>
      </c>
      <c r="M174" s="702"/>
      <c r="N174" s="758"/>
      <c r="O174" s="8"/>
    </row>
    <row r="175" spans="2:18" ht="25" customHeight="1">
      <c r="B175" s="137" t="s">
        <v>516</v>
      </c>
      <c r="C175" s="130"/>
      <c r="D175" s="38"/>
      <c r="E175" s="38" t="s">
        <v>584</v>
      </c>
      <c r="F175" s="792"/>
      <c r="G175" s="792"/>
      <c r="H175" s="792"/>
      <c r="I175" s="792"/>
      <c r="J175" s="800"/>
      <c r="K175" s="929">
        <f>PAAS_openshift_EUR</f>
        <v>0</v>
      </c>
      <c r="M175" s="702"/>
      <c r="N175" s="758"/>
      <c r="O175" s="8"/>
    </row>
    <row r="176" spans="2:18" ht="25" customHeight="1">
      <c r="B176" s="134" t="s">
        <v>517</v>
      </c>
      <c r="C176" s="129"/>
      <c r="D176" s="30"/>
      <c r="E176" s="30" t="s">
        <v>147</v>
      </c>
      <c r="F176" s="30"/>
      <c r="G176" s="30"/>
      <c r="H176" s="30"/>
      <c r="I176" s="30"/>
      <c r="J176" s="40"/>
      <c r="K176" s="928" t="str">
        <f>PAAS_man.nats_EUR</f>
        <v>Requests for quotation</v>
      </c>
      <c r="M176" s="702"/>
      <c r="N176" s="758"/>
      <c r="O176" s="8"/>
    </row>
    <row r="177" spans="2:20" ht="25" customHeight="1">
      <c r="B177" s="137" t="s">
        <v>518</v>
      </c>
      <c r="C177" s="130"/>
      <c r="D177" s="38"/>
      <c r="E177" s="38" t="s">
        <v>150</v>
      </c>
      <c r="F177" s="792"/>
      <c r="G177" s="792"/>
      <c r="H177" s="792"/>
      <c r="I177" s="792"/>
      <c r="J177" s="800"/>
      <c r="K177" s="929" t="str">
        <f>PAAS_man.mariadb_EUR</f>
        <v>Requests for quotation</v>
      </c>
      <c r="M177" s="702"/>
      <c r="N177" s="758"/>
      <c r="O177" s="8"/>
    </row>
    <row r="178" spans="2:20" ht="25" customHeight="1">
      <c r="B178" s="134" t="s">
        <v>451</v>
      </c>
      <c r="C178" s="129"/>
      <c r="D178" s="30"/>
      <c r="E178" s="30" t="s">
        <v>144</v>
      </c>
      <c r="F178" s="30"/>
      <c r="G178" s="30"/>
      <c r="H178" s="30"/>
      <c r="I178" s="30"/>
      <c r="J178" s="40"/>
      <c r="K178" s="928" t="str">
        <f>PAAS_man.redis_EUR</f>
        <v>Requests for quotation</v>
      </c>
      <c r="M178" s="702"/>
      <c r="N178" s="758"/>
      <c r="O178" s="8"/>
    </row>
    <row r="179" spans="2:20" ht="25" customHeight="1">
      <c r="B179" s="106"/>
      <c r="C179" s="103"/>
      <c r="D179" s="397"/>
      <c r="E179" s="105"/>
      <c r="F179" s="798"/>
      <c r="G179" s="798"/>
      <c r="H179" s="798"/>
      <c r="I179" s="798"/>
      <c r="J179" s="799"/>
      <c r="K179" s="886"/>
      <c r="M179" s="702"/>
      <c r="N179" s="758"/>
      <c r="O179" s="8"/>
    </row>
    <row r="180" spans="2:20" ht="25" customHeight="1">
      <c r="B180" s="137"/>
      <c r="C180" s="130"/>
      <c r="D180" s="38"/>
      <c r="E180" s="31"/>
      <c r="F180" s="792"/>
      <c r="G180" s="800"/>
      <c r="H180" s="794"/>
      <c r="I180" s="441"/>
      <c r="M180" s="702"/>
    </row>
    <row r="181" spans="2:20" ht="25" customHeight="1">
      <c r="B181" s="417"/>
      <c r="C181" s="26"/>
      <c r="D181" s="26"/>
      <c r="E181" s="26"/>
      <c r="F181" s="777"/>
      <c r="G181" s="778"/>
      <c r="H181" s="26"/>
      <c r="I181" s="756"/>
      <c r="J181" s="756"/>
      <c r="K181" s="875"/>
      <c r="L181" s="758"/>
      <c r="M181" s="702"/>
      <c r="N181" s="682"/>
      <c r="O181" s="682"/>
    </row>
    <row r="182" spans="2:20" s="4" customFormat="1" ht="25" customHeight="1">
      <c r="B182" s="967" t="s">
        <v>585</v>
      </c>
      <c r="C182" s="967"/>
      <c r="D182" s="967"/>
      <c r="E182" s="967"/>
      <c r="F182" s="967"/>
      <c r="G182" s="967"/>
      <c r="H182" s="801"/>
      <c r="J182" s="681"/>
      <c r="K182" s="862"/>
      <c r="M182" s="702"/>
    </row>
    <row r="183" spans="2:20" s="4" customFormat="1" ht="25" customHeight="1">
      <c r="B183" s="967"/>
      <c r="C183" s="967"/>
      <c r="D183" s="967"/>
      <c r="E183" s="967"/>
      <c r="F183" s="967"/>
      <c r="G183" s="967"/>
      <c r="H183" s="801"/>
      <c r="J183" s="681"/>
      <c r="K183" s="862"/>
      <c r="M183" s="702"/>
    </row>
    <row r="184" spans="2:20" s="4" customFormat="1" ht="25" customHeight="1">
      <c r="B184" s="967"/>
      <c r="C184" s="967"/>
      <c r="D184" s="967"/>
      <c r="E184" s="967"/>
      <c r="F184" s="967"/>
      <c r="G184" s="967"/>
      <c r="H184" s="801"/>
      <c r="J184" s="681"/>
      <c r="K184" s="862"/>
      <c r="M184" s="702"/>
    </row>
    <row r="185" spans="2:20" s="4" customFormat="1" ht="25" customHeight="1">
      <c r="B185" s="988" t="s">
        <v>586</v>
      </c>
      <c r="C185" s="988"/>
      <c r="D185" s="988"/>
      <c r="E185" s="988"/>
      <c r="F185" s="988"/>
      <c r="H185" s="801"/>
      <c r="J185" s="681"/>
      <c r="K185" s="862"/>
      <c r="M185" s="702"/>
    </row>
    <row r="186" spans="2:20" s="4" customFormat="1" ht="25" customHeight="1">
      <c r="B186" s="983" t="s">
        <v>587</v>
      </c>
      <c r="C186" s="983"/>
      <c r="D186" s="983"/>
      <c r="E186" s="983"/>
      <c r="F186" s="983"/>
      <c r="G186" s="684"/>
      <c r="H186" s="685"/>
      <c r="I186" s="684"/>
      <c r="J186" s="686"/>
      <c r="K186" s="863"/>
      <c r="L186" s="684"/>
      <c r="M186" s="702"/>
    </row>
    <row r="187" spans="2:20" s="4" customFormat="1" ht="25" customHeight="1">
      <c r="B187" s="465"/>
      <c r="C187" s="133"/>
      <c r="D187" s="133"/>
      <c r="E187" s="133"/>
      <c r="F187" s="133"/>
      <c r="G187" s="684"/>
      <c r="H187" s="685"/>
      <c r="I187" s="684"/>
      <c r="J187" s="686"/>
      <c r="K187" s="863"/>
      <c r="L187" s="684"/>
      <c r="M187" s="702"/>
    </row>
    <row r="188" spans="2:20" ht="25" customHeight="1">
      <c r="B188" s="651" t="s">
        <v>152</v>
      </c>
      <c r="C188" s="13"/>
      <c r="D188" s="13"/>
      <c r="F188" s="13"/>
      <c r="G188" s="13"/>
      <c r="H188" s="13"/>
      <c r="I188" s="13"/>
      <c r="J188" s="13"/>
      <c r="K188" s="887"/>
      <c r="L188" s="13"/>
      <c r="M188" s="702"/>
      <c r="O188" s="758"/>
      <c r="P188" s="758"/>
      <c r="Q188" s="8"/>
      <c r="S188" s="682"/>
      <c r="T188" s="682"/>
    </row>
    <row r="189" spans="2:20" ht="25" customHeight="1">
      <c r="B189" s="630" t="s">
        <v>588</v>
      </c>
      <c r="M189" s="695"/>
    </row>
    <row r="190" spans="2:20" ht="25" customHeight="1">
      <c r="B190" s="470" t="s">
        <v>9</v>
      </c>
      <c r="C190" s="23"/>
      <c r="D190" s="24" t="s">
        <v>64</v>
      </c>
      <c r="E190" s="24"/>
      <c r="F190" s="24"/>
      <c r="G190" s="24"/>
      <c r="H190" s="24"/>
      <c r="I190" s="23" t="s">
        <v>577</v>
      </c>
      <c r="J190" s="23"/>
      <c r="K190" s="614" t="s">
        <v>14</v>
      </c>
      <c r="L190" s="756"/>
      <c r="M190" s="702"/>
      <c r="N190" s="758"/>
      <c r="O190" s="8"/>
      <c r="Q190" s="682"/>
      <c r="R190" s="682"/>
    </row>
    <row r="191" spans="2:20" ht="25" customHeight="1">
      <c r="B191" s="134" t="s">
        <v>519</v>
      </c>
      <c r="C191" s="129"/>
      <c r="D191" s="30" t="s">
        <v>589</v>
      </c>
      <c r="E191" s="40"/>
      <c r="F191" s="30"/>
      <c r="G191" s="40"/>
      <c r="H191" s="40"/>
      <c r="I191" s="796" t="s">
        <v>606</v>
      </c>
      <c r="J191" s="796"/>
      <c r="K191" s="928">
        <v>0</v>
      </c>
      <c r="L191" s="756"/>
      <c r="M191" s="702"/>
      <c r="N191" s="758"/>
      <c r="O191" s="8"/>
      <c r="Q191" s="682"/>
      <c r="R191" s="682"/>
    </row>
    <row r="192" spans="2:20" ht="25" customHeight="1">
      <c r="B192" s="137" t="s">
        <v>520</v>
      </c>
      <c r="C192" s="130"/>
      <c r="D192" s="38" t="s">
        <v>156</v>
      </c>
      <c r="E192" s="31"/>
      <c r="F192" s="792"/>
      <c r="G192" s="800"/>
      <c r="H192" s="800"/>
      <c r="I192" s="794" t="s">
        <v>157</v>
      </c>
      <c r="J192" s="794"/>
      <c r="K192" s="556" t="s">
        <v>590</v>
      </c>
      <c r="L192" s="756"/>
      <c r="M192" s="896" t="s">
        <v>591</v>
      </c>
      <c r="N192" s="758"/>
      <c r="O192" s="8"/>
      <c r="Q192" s="682"/>
      <c r="R192" s="682"/>
    </row>
    <row r="193" spans="2:18" ht="25" customHeight="1">
      <c r="B193" s="134" t="s">
        <v>521</v>
      </c>
      <c r="C193" s="129"/>
      <c r="D193" s="30" t="s">
        <v>160</v>
      </c>
      <c r="E193" s="129"/>
      <c r="F193" s="129"/>
      <c r="G193" s="129"/>
      <c r="H193" s="40"/>
      <c r="I193" s="791" t="s">
        <v>161</v>
      </c>
      <c r="J193" s="791"/>
      <c r="K193" s="557" t="s">
        <v>592</v>
      </c>
      <c r="L193" s="756"/>
      <c r="M193" s="702"/>
      <c r="N193" s="758"/>
      <c r="O193" s="8"/>
      <c r="Q193" s="682"/>
      <c r="R193" s="682"/>
    </row>
    <row r="194" spans="2:18" ht="25" customHeight="1">
      <c r="B194" s="106"/>
      <c r="C194" s="103"/>
      <c r="D194" s="103"/>
      <c r="E194" s="105"/>
      <c r="F194" s="798"/>
      <c r="G194" s="799"/>
      <c r="H194" s="799"/>
      <c r="I194" s="802"/>
      <c r="J194" s="802"/>
      <c r="K194" s="886"/>
      <c r="L194" s="756"/>
      <c r="M194" s="702"/>
      <c r="N194" s="758"/>
      <c r="O194" s="8"/>
      <c r="Q194" s="682"/>
      <c r="R194" s="682"/>
    </row>
    <row r="195" spans="2:18" ht="25" customHeight="1">
      <c r="B195" s="137"/>
      <c r="C195" s="130"/>
      <c r="D195" s="38"/>
      <c r="E195" s="31"/>
      <c r="F195" s="792"/>
      <c r="G195" s="800"/>
      <c r="H195" s="800"/>
      <c r="I195" s="794"/>
      <c r="J195" s="794"/>
      <c r="K195" s="556"/>
      <c r="L195" s="756"/>
      <c r="M195" s="702"/>
      <c r="N195" s="758"/>
      <c r="O195" s="8"/>
      <c r="Q195" s="682"/>
      <c r="R195" s="682"/>
    </row>
    <row r="196" spans="2:18" s="653" customFormat="1" ht="25" customHeight="1">
      <c r="B196" s="651" t="s">
        <v>593</v>
      </c>
      <c r="C196" s="909"/>
      <c r="D196" s="909"/>
      <c r="F196" s="909"/>
      <c r="G196" s="909"/>
      <c r="H196" s="909"/>
      <c r="I196" s="910"/>
      <c r="J196" s="910"/>
      <c r="K196" s="715"/>
      <c r="L196" s="911"/>
      <c r="M196" s="912"/>
      <c r="N196" s="913"/>
      <c r="O196" s="914"/>
      <c r="Q196" s="914"/>
      <c r="R196" s="914"/>
    </row>
    <row r="197" spans="2:18" ht="25" customHeight="1">
      <c r="B197" s="630" t="s">
        <v>594</v>
      </c>
      <c r="M197" s="695"/>
    </row>
    <row r="198" spans="2:18" ht="25" customHeight="1">
      <c r="B198" s="470" t="s">
        <v>9</v>
      </c>
      <c r="C198" s="23"/>
      <c r="D198" s="24" t="s">
        <v>64</v>
      </c>
      <c r="E198" s="24"/>
      <c r="F198" s="24"/>
      <c r="G198" s="24"/>
      <c r="H198" s="24"/>
      <c r="I198" s="23" t="s">
        <v>577</v>
      </c>
      <c r="J198" s="23"/>
      <c r="K198" s="614" t="s">
        <v>14</v>
      </c>
      <c r="L198" s="756"/>
      <c r="M198" s="702"/>
      <c r="N198" s="758"/>
      <c r="O198" s="8"/>
      <c r="Q198" s="682"/>
      <c r="R198" s="682"/>
    </row>
    <row r="199" spans="2:18" ht="25" customHeight="1">
      <c r="B199" s="134" t="s">
        <v>522</v>
      </c>
      <c r="C199" s="129"/>
      <c r="D199" s="30" t="s">
        <v>166</v>
      </c>
      <c r="E199" s="40"/>
      <c r="F199" s="30"/>
      <c r="G199" s="40"/>
      <c r="H199" s="40"/>
      <c r="I199" s="791" t="s">
        <v>161</v>
      </c>
      <c r="J199" s="791"/>
      <c r="K199" s="928">
        <f>PS_consult.jun_EUR</f>
        <v>103.684</v>
      </c>
      <c r="L199" s="756"/>
      <c r="M199" s="702"/>
      <c r="N199" s="758"/>
      <c r="O199" s="8"/>
      <c r="Q199" s="682"/>
      <c r="R199" s="682"/>
    </row>
    <row r="200" spans="2:18" ht="25" customHeight="1">
      <c r="B200" s="137" t="s">
        <v>523</v>
      </c>
      <c r="C200" s="130"/>
      <c r="D200" s="38" t="s">
        <v>168</v>
      </c>
      <c r="E200" s="31"/>
      <c r="F200" s="792"/>
      <c r="G200" s="800"/>
      <c r="H200" s="800"/>
      <c r="I200" s="794" t="s">
        <v>161</v>
      </c>
      <c r="J200" s="794"/>
      <c r="K200" s="929">
        <f>PS_consult.sen_EUR</f>
        <v>126.408</v>
      </c>
      <c r="L200" s="756"/>
      <c r="M200" s="702"/>
      <c r="N200" s="758"/>
      <c r="O200" s="8"/>
      <c r="Q200" s="682"/>
      <c r="R200" s="682"/>
    </row>
    <row r="201" spans="2:18" ht="25" customHeight="1">
      <c r="B201" s="134" t="s">
        <v>524</v>
      </c>
      <c r="C201" s="129"/>
      <c r="D201" s="30" t="s">
        <v>170</v>
      </c>
      <c r="E201" s="40"/>
      <c r="F201" s="30"/>
      <c r="G201" s="40"/>
      <c r="H201" s="40"/>
      <c r="I201" s="791" t="s">
        <v>161</v>
      </c>
      <c r="J201" s="791"/>
      <c r="K201" s="928">
        <f>PS_cloudarch.jun_EUR</f>
        <v>117.48399999999999</v>
      </c>
      <c r="L201" s="756"/>
      <c r="M201" s="702"/>
      <c r="N201" s="758"/>
      <c r="O201" s="8"/>
      <c r="Q201" s="682"/>
      <c r="R201" s="682"/>
    </row>
    <row r="202" spans="2:18" ht="25" customHeight="1">
      <c r="B202" s="137" t="s">
        <v>525</v>
      </c>
      <c r="C202" s="130"/>
      <c r="D202" s="38" t="s">
        <v>172</v>
      </c>
      <c r="E202" s="38"/>
      <c r="F202" s="38"/>
      <c r="G202" s="800"/>
      <c r="H202" s="800"/>
      <c r="I202" s="794" t="s">
        <v>161</v>
      </c>
      <c r="J202" s="794"/>
      <c r="K202" s="929">
        <f>PS_cloudarch.sen_EUR</f>
        <v>126.408</v>
      </c>
      <c r="L202" s="756"/>
      <c r="M202" s="702"/>
      <c r="N202" s="758"/>
      <c r="O202" s="8"/>
      <c r="Q202" s="682"/>
      <c r="R202" s="682"/>
    </row>
    <row r="203" spans="2:18" ht="25" customHeight="1">
      <c r="B203" s="134" t="s">
        <v>526</v>
      </c>
      <c r="C203" s="129"/>
      <c r="D203" s="30" t="s">
        <v>174</v>
      </c>
      <c r="E203" s="40"/>
      <c r="F203" s="30"/>
      <c r="G203" s="40"/>
      <c r="H203" s="40"/>
      <c r="I203" s="791" t="s">
        <v>161</v>
      </c>
      <c r="J203" s="791"/>
      <c r="K203" s="928">
        <f>PS_pm.jun_EUR</f>
        <v>104.788</v>
      </c>
      <c r="L203" s="756"/>
      <c r="M203" s="702"/>
      <c r="N203" s="758"/>
      <c r="O203" s="8"/>
      <c r="Q203" s="682"/>
      <c r="R203" s="682"/>
    </row>
    <row r="204" spans="2:18" ht="25" customHeight="1">
      <c r="B204" s="137" t="s">
        <v>527</v>
      </c>
      <c r="C204" s="130"/>
      <c r="D204" s="38" t="s">
        <v>176</v>
      </c>
      <c r="E204" s="31"/>
      <c r="F204" s="792"/>
      <c r="G204" s="800"/>
      <c r="H204" s="800"/>
      <c r="I204" s="794" t="s">
        <v>161</v>
      </c>
      <c r="J204" s="794"/>
      <c r="K204" s="929">
        <f>PS_pm.sen_EUR</f>
        <v>126.408</v>
      </c>
      <c r="L204" s="756"/>
      <c r="M204" s="702"/>
      <c r="N204" s="758"/>
      <c r="O204" s="8"/>
      <c r="Q204" s="682"/>
      <c r="R204" s="682"/>
    </row>
    <row r="205" spans="2:18" ht="25" customHeight="1">
      <c r="B205" s="106"/>
      <c r="C205" s="103"/>
      <c r="D205" s="397"/>
      <c r="E205" s="105"/>
      <c r="F205" s="798"/>
      <c r="G205" s="799"/>
      <c r="H205" s="799"/>
      <c r="I205" s="802"/>
      <c r="J205" s="802"/>
      <c r="K205" s="886"/>
      <c r="L205" s="756"/>
      <c r="M205" s="702"/>
      <c r="N205" s="758"/>
      <c r="O205" s="8"/>
      <c r="Q205" s="682"/>
      <c r="R205" s="682"/>
    </row>
    <row r="206" spans="2:18" ht="25" customHeight="1">
      <c r="B206" s="137"/>
      <c r="C206" s="130"/>
      <c r="D206" s="38"/>
      <c r="E206" s="31"/>
      <c r="F206" s="792"/>
      <c r="G206" s="800"/>
      <c r="H206" s="800"/>
      <c r="I206" s="794"/>
      <c r="J206" s="794"/>
      <c r="K206" s="556"/>
      <c r="M206" s="702"/>
      <c r="N206" s="758"/>
      <c r="O206" s="8"/>
    </row>
    <row r="207" spans="2:18" ht="25" customHeight="1">
      <c r="B207" s="651" t="s">
        <v>595</v>
      </c>
      <c r="C207" s="13"/>
      <c r="D207" s="13"/>
      <c r="F207" s="13"/>
      <c r="G207" s="13"/>
      <c r="H207" s="13"/>
      <c r="I207" s="797"/>
      <c r="J207" s="797"/>
      <c r="L207" s="756"/>
      <c r="M207" s="702"/>
      <c r="N207" s="758"/>
      <c r="O207" s="8"/>
      <c r="Q207" s="682"/>
      <c r="R207" s="682"/>
    </row>
    <row r="208" spans="2:18" ht="25" customHeight="1">
      <c r="B208" s="630" t="s">
        <v>596</v>
      </c>
      <c r="M208" s="695"/>
    </row>
    <row r="209" spans="1:18" ht="25" customHeight="1">
      <c r="B209" s="470" t="s">
        <v>9</v>
      </c>
      <c r="C209" s="23"/>
      <c r="D209" s="24" t="s">
        <v>64</v>
      </c>
      <c r="E209" s="132"/>
      <c r="F209" s="24"/>
      <c r="G209" s="131" t="s">
        <v>178</v>
      </c>
      <c r="H209" s="23"/>
      <c r="I209" s="132" t="s">
        <v>577</v>
      </c>
      <c r="J209" s="23"/>
      <c r="K209" s="614" t="s">
        <v>179</v>
      </c>
      <c r="L209" s="756"/>
      <c r="M209" s="702"/>
      <c r="N209" s="758"/>
      <c r="O209" s="8"/>
      <c r="Q209" s="682"/>
      <c r="R209" s="682"/>
    </row>
    <row r="210" spans="1:18" ht="25" customHeight="1">
      <c r="B210" s="134" t="s">
        <v>528</v>
      </c>
      <c r="C210" s="129"/>
      <c r="D210" s="30" t="s">
        <v>182</v>
      </c>
      <c r="E210" s="40"/>
      <c r="F210" s="30"/>
      <c r="G210" s="40" t="s">
        <v>181</v>
      </c>
      <c r="H210" s="791"/>
      <c r="I210" s="951" t="s">
        <v>183</v>
      </c>
      <c r="J210" s="791"/>
      <c r="K210" s="557" t="s">
        <v>592</v>
      </c>
      <c r="L210" s="756"/>
      <c r="M210" s="702"/>
      <c r="N210" s="758"/>
      <c r="O210" s="8"/>
      <c r="Q210" s="682"/>
      <c r="R210" s="682"/>
    </row>
    <row r="211" spans="1:18" ht="25" customHeight="1">
      <c r="B211" s="137" t="s">
        <v>529</v>
      </c>
      <c r="C211" s="130"/>
      <c r="D211" s="38" t="s">
        <v>597</v>
      </c>
      <c r="E211" s="31"/>
      <c r="F211" s="792"/>
      <c r="G211" s="800" t="s">
        <v>181</v>
      </c>
      <c r="H211" s="794"/>
      <c r="I211" s="952" t="s">
        <v>183</v>
      </c>
      <c r="J211" s="794"/>
      <c r="K211" s="556" t="s">
        <v>592</v>
      </c>
      <c r="L211" s="756"/>
      <c r="M211" s="702"/>
      <c r="N211" s="758"/>
      <c r="O211" s="8"/>
      <c r="Q211" s="682"/>
      <c r="R211" s="682"/>
    </row>
    <row r="212" spans="1:18" ht="25" customHeight="1">
      <c r="B212" s="134" t="s">
        <v>530</v>
      </c>
      <c r="C212" s="129"/>
      <c r="D212" s="30" t="s">
        <v>598</v>
      </c>
      <c r="E212" s="40"/>
      <c r="F212" s="30"/>
      <c r="G212" s="40" t="s">
        <v>187</v>
      </c>
      <c r="H212" s="791"/>
      <c r="I212" s="951" t="s">
        <v>183</v>
      </c>
      <c r="J212" s="791"/>
      <c r="K212" s="557" t="s">
        <v>592</v>
      </c>
      <c r="L212" s="756"/>
      <c r="M212" s="702"/>
      <c r="N212" s="758"/>
      <c r="O212" s="8"/>
      <c r="Q212" s="682"/>
      <c r="R212" s="682"/>
    </row>
    <row r="213" spans="1:18" ht="25" customHeight="1">
      <c r="B213" s="137" t="s">
        <v>531</v>
      </c>
      <c r="C213" s="130"/>
      <c r="D213" s="38" t="s">
        <v>599</v>
      </c>
      <c r="E213" s="31"/>
      <c r="F213" s="792"/>
      <c r="G213" s="800" t="s">
        <v>187</v>
      </c>
      <c r="H213" s="794"/>
      <c r="I213" s="952" t="s">
        <v>183</v>
      </c>
      <c r="J213" s="794"/>
      <c r="K213" s="556" t="s">
        <v>592</v>
      </c>
      <c r="L213" s="756"/>
      <c r="M213" s="702"/>
      <c r="N213" s="758"/>
      <c r="O213" s="8"/>
      <c r="Q213" s="682"/>
      <c r="R213" s="682"/>
    </row>
    <row r="214" spans="1:18" ht="25" customHeight="1">
      <c r="B214" s="106"/>
      <c r="C214" s="103"/>
      <c r="D214" s="397"/>
      <c r="E214" s="105"/>
      <c r="F214" s="798"/>
      <c r="G214" s="799"/>
      <c r="H214" s="799"/>
      <c r="I214" s="799"/>
      <c r="J214" s="799"/>
      <c r="K214" s="886"/>
      <c r="L214" s="756"/>
      <c r="M214" s="702"/>
      <c r="N214" s="758"/>
      <c r="O214" s="8"/>
      <c r="Q214" s="682"/>
      <c r="R214" s="682"/>
    </row>
    <row r="215" spans="1:18" ht="25" customHeight="1">
      <c r="B215" s="417"/>
      <c r="C215" s="26"/>
      <c r="D215" s="26"/>
      <c r="E215" s="26"/>
      <c r="F215" s="777"/>
      <c r="G215" s="778"/>
      <c r="H215" s="756"/>
      <c r="I215" s="756"/>
      <c r="J215" s="756"/>
      <c r="K215" s="876"/>
      <c r="L215" s="758"/>
      <c r="M215" s="702"/>
      <c r="N215" s="682"/>
      <c r="O215" s="682"/>
    </row>
    <row r="216" spans="1:18" ht="25" customHeight="1">
      <c r="A216" s="788"/>
      <c r="B216" s="642"/>
      <c r="C216" s="60"/>
      <c r="D216" s="60"/>
      <c r="E216" s="60"/>
      <c r="F216" s="803"/>
      <c r="G216" s="804"/>
      <c r="H216" s="805"/>
      <c r="I216" s="806"/>
      <c r="J216" s="807"/>
      <c r="K216" s="888"/>
      <c r="L216" s="808"/>
      <c r="M216" s="702"/>
      <c r="N216" s="682"/>
      <c r="O216" s="682"/>
    </row>
    <row r="217" spans="1:18" s="4" customFormat="1" ht="25" customHeight="1">
      <c r="A217" s="3"/>
      <c r="B217" s="643"/>
      <c r="C217" s="54"/>
      <c r="D217" s="54"/>
      <c r="E217" s="54"/>
      <c r="F217" s="809"/>
      <c r="G217" s="810"/>
      <c r="H217" s="811"/>
      <c r="I217" s="812"/>
      <c r="J217" s="813"/>
      <c r="K217" s="889"/>
      <c r="L217" s="3"/>
      <c r="M217" s="674"/>
    </row>
    <row r="218" spans="1:18" s="4" customFormat="1" ht="25" customHeight="1">
      <c r="A218" s="3"/>
      <c r="B218" s="643"/>
      <c r="C218" s="54"/>
      <c r="D218" s="54"/>
      <c r="E218" s="54"/>
      <c r="F218" s="809"/>
      <c r="G218" s="810"/>
      <c r="H218" s="811"/>
      <c r="I218" s="812"/>
      <c r="J218" s="813"/>
      <c r="K218" s="889"/>
      <c r="L218" s="3"/>
      <c r="M218" s="674"/>
    </row>
    <row r="219" spans="1:18" s="4" customFormat="1" ht="25" customHeight="1">
      <c r="A219" s="3"/>
      <c r="B219" s="643"/>
      <c r="C219" s="54"/>
      <c r="D219" s="54"/>
      <c r="E219" s="54"/>
      <c r="F219" s="809"/>
      <c r="G219" s="810"/>
      <c r="H219" s="811"/>
      <c r="I219" s="812"/>
      <c r="J219" s="813"/>
      <c r="K219" s="889"/>
      <c r="L219" s="3"/>
      <c r="M219" s="674"/>
    </row>
    <row r="220" spans="1:18" s="4" customFormat="1" ht="25" customHeight="1">
      <c r="A220" s="3"/>
      <c r="B220" s="986" t="s">
        <v>191</v>
      </c>
      <c r="C220" s="986"/>
      <c r="D220" s="986"/>
      <c r="E220" s="986"/>
      <c r="F220" s="986"/>
      <c r="G220" s="986"/>
      <c r="H220" s="672"/>
      <c r="I220" s="814"/>
      <c r="J220" s="3"/>
      <c r="K220" s="860"/>
      <c r="L220" s="3"/>
      <c r="M220" s="674"/>
    </row>
    <row r="221" spans="1:18" s="4" customFormat="1" ht="25" customHeight="1">
      <c r="A221" s="3"/>
      <c r="B221" s="986"/>
      <c r="C221" s="986"/>
      <c r="D221" s="986"/>
      <c r="E221" s="986"/>
      <c r="F221" s="986"/>
      <c r="G221" s="986"/>
      <c r="H221" s="672"/>
      <c r="I221" s="814"/>
      <c r="J221" s="3"/>
      <c r="K221" s="860"/>
      <c r="L221" s="3"/>
      <c r="M221" s="674"/>
    </row>
    <row r="222" spans="1:18" s="4" customFormat="1" ht="25" customHeight="1">
      <c r="A222" s="3"/>
      <c r="B222" s="986"/>
      <c r="C222" s="986"/>
      <c r="D222" s="986"/>
      <c r="E222" s="986"/>
      <c r="F222" s="986"/>
      <c r="G222" s="986"/>
      <c r="H222" s="672"/>
      <c r="I222" s="814"/>
      <c r="J222" s="3"/>
      <c r="K222" s="860"/>
      <c r="L222" s="3"/>
      <c r="M222" s="674"/>
    </row>
    <row r="223" spans="1:18" s="4" customFormat="1" ht="25" customHeight="1">
      <c r="A223" s="3"/>
      <c r="B223" s="987" t="s">
        <v>587</v>
      </c>
      <c r="C223" s="987"/>
      <c r="D223" s="987"/>
      <c r="E223" s="987"/>
      <c r="F223" s="987"/>
      <c r="G223" s="3"/>
      <c r="H223" s="672"/>
      <c r="I223" s="814"/>
      <c r="J223" s="3"/>
      <c r="K223" s="860"/>
      <c r="L223" s="815"/>
      <c r="M223" s="688"/>
    </row>
    <row r="224" spans="1:18" s="4" customFormat="1" ht="25" customHeight="1">
      <c r="A224" s="3"/>
      <c r="B224" s="636"/>
      <c r="C224" s="62"/>
      <c r="D224" s="62"/>
      <c r="E224" s="62"/>
      <c r="F224" s="62"/>
      <c r="G224" s="3"/>
      <c r="H224" s="672"/>
      <c r="I224" s="814"/>
      <c r="J224" s="3"/>
      <c r="K224" s="860"/>
      <c r="L224" s="815"/>
      <c r="M224" s="688"/>
    </row>
    <row r="225" spans="1:20" s="4" customFormat="1" ht="25" customHeight="1">
      <c r="A225" s="3"/>
      <c r="B225" s="422" t="s">
        <v>601</v>
      </c>
      <c r="C225" s="62"/>
      <c r="D225" s="62"/>
      <c r="E225" s="62"/>
      <c r="F225" s="62"/>
      <c r="G225" s="3"/>
      <c r="H225" s="672"/>
      <c r="I225" s="814"/>
      <c r="J225" s="3"/>
      <c r="K225" s="860"/>
      <c r="L225" s="815"/>
      <c r="M225" s="688"/>
    </row>
    <row r="226" spans="1:20" s="4" customFormat="1" ht="25" customHeight="1">
      <c r="A226" s="3"/>
      <c r="B226" s="418" t="s">
        <v>602</v>
      </c>
      <c r="C226" s="62"/>
      <c r="D226" s="62"/>
      <c r="E226" s="62"/>
      <c r="F226" s="62"/>
      <c r="G226" s="3"/>
      <c r="H226" s="672"/>
      <c r="I226" s="3"/>
      <c r="J226" s="673"/>
      <c r="K226" s="860"/>
      <c r="L226" s="815"/>
      <c r="M226" s="688"/>
    </row>
    <row r="227" spans="1:20" s="4" customFormat="1" ht="25" customHeight="1">
      <c r="A227" s="3"/>
      <c r="B227" s="964" t="s">
        <v>3</v>
      </c>
      <c r="C227" s="67"/>
      <c r="D227" s="67"/>
      <c r="E227" s="67"/>
      <c r="F227" s="67"/>
      <c r="G227" s="815"/>
      <c r="H227" s="816"/>
      <c r="I227" s="815"/>
      <c r="J227" s="817"/>
      <c r="K227" s="890"/>
      <c r="L227" s="815"/>
      <c r="M227" s="688"/>
    </row>
    <row r="228" spans="1:20" s="728" customFormat="1" ht="25" customHeight="1">
      <c r="A228" s="818"/>
      <c r="B228" s="915"/>
      <c r="C228" s="135"/>
      <c r="D228" s="135"/>
      <c r="E228" s="135"/>
      <c r="F228" s="135"/>
      <c r="G228" s="815"/>
      <c r="H228" s="816"/>
      <c r="I228" s="815"/>
      <c r="J228" s="817"/>
      <c r="K228" s="890"/>
      <c r="L228" s="818"/>
      <c r="M228" s="780"/>
      <c r="N228" s="819"/>
      <c r="O228" s="745"/>
      <c r="P228" s="745"/>
      <c r="Q228" s="745"/>
      <c r="R228" s="745"/>
      <c r="S228" s="745"/>
      <c r="T228" s="745"/>
    </row>
    <row r="229" spans="1:20" ht="25" customHeight="1">
      <c r="A229" s="2"/>
      <c r="B229" s="644" t="s">
        <v>603</v>
      </c>
      <c r="C229" s="56"/>
      <c r="D229" s="57"/>
      <c r="E229" s="56"/>
      <c r="F229" s="665"/>
      <c r="G229" s="665"/>
      <c r="H229" s="665"/>
      <c r="I229" s="56"/>
      <c r="J229" s="665" t="s">
        <v>600</v>
      </c>
      <c r="K229" s="891"/>
      <c r="L229" s="820"/>
      <c r="M229" s="670"/>
      <c r="N229" s="28"/>
    </row>
    <row r="230" spans="1:20" ht="25" customHeight="1">
      <c r="A230" s="2"/>
      <c r="B230" s="854" t="s">
        <v>4</v>
      </c>
      <c r="C230" s="661" t="str" cm="1">
        <f t="array" ref="C230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0" s="71"/>
      <c r="E230" s="661"/>
      <c r="F230" s="661"/>
      <c r="G230" s="662"/>
      <c r="H230" s="821"/>
      <c r="I230" s="822"/>
      <c r="J230" s="953">
        <f>K64+K73+K55+K38+K82</f>
        <v>0</v>
      </c>
      <c r="K230" s="857"/>
      <c r="L230" s="2"/>
      <c r="M230" s="670"/>
      <c r="N230" s="28"/>
    </row>
    <row r="231" spans="1:20" ht="25" customHeight="1">
      <c r="A231" s="2"/>
      <c r="B231" s="493" t="s">
        <v>72</v>
      </c>
      <c r="C231" s="612" t="str">
        <f>K94&amp;" TB - S3"&amp;"     /     "&amp;K93&amp;" TB - Archive"</f>
        <v>0 TB - S3     /     0 TB - Archive</v>
      </c>
      <c r="D231" s="663"/>
      <c r="E231" s="663"/>
      <c r="F231" s="823"/>
      <c r="G231" s="824"/>
      <c r="H231" s="824"/>
      <c r="I231" s="825"/>
      <c r="J231" s="954">
        <f>K95</f>
        <v>0</v>
      </c>
      <c r="K231" s="857"/>
      <c r="L231" s="2"/>
      <c r="M231" s="670"/>
      <c r="N231" s="28"/>
    </row>
    <row r="232" spans="1:20" ht="25" customHeight="1">
      <c r="A232" s="2"/>
      <c r="B232" s="493" t="s">
        <v>86</v>
      </c>
      <c r="C232" s="136"/>
      <c r="D232" s="72"/>
      <c r="E232" s="73"/>
      <c r="F232" s="823"/>
      <c r="G232" s="824"/>
      <c r="H232" s="824"/>
      <c r="I232" s="825"/>
      <c r="J232" s="954">
        <f>K119</f>
        <v>0</v>
      </c>
      <c r="K232" s="857"/>
      <c r="L232" s="2"/>
      <c r="M232" s="670"/>
      <c r="N232" s="28"/>
    </row>
    <row r="233" spans="1:20" s="829" customFormat="1" ht="25" customHeight="1">
      <c r="A233" s="826"/>
      <c r="B233" s="466" t="s">
        <v>442</v>
      </c>
      <c r="C233" s="656" t="str">
        <f>IF(J131=1,"Fully managed service - support weekdays 08: 00-17: 00",IF(J131=3,"Fully managed service - support around the clock, every day",""))</f>
        <v/>
      </c>
      <c r="D233" s="33"/>
      <c r="E233" s="34"/>
      <c r="F233" s="35"/>
      <c r="G233" s="827"/>
      <c r="H233" s="827"/>
      <c r="I233" s="774"/>
      <c r="J233" s="939">
        <f>K133</f>
        <v>0</v>
      </c>
      <c r="K233" s="857"/>
      <c r="L233" s="826"/>
      <c r="M233" s="828"/>
    </row>
    <row r="234" spans="1:20" s="835" customFormat="1" ht="25" customHeight="1">
      <c r="A234" s="830"/>
      <c r="B234" s="664" t="s">
        <v>30</v>
      </c>
      <c r="C234" s="659"/>
      <c r="D234" s="660"/>
      <c r="E234" s="660"/>
      <c r="F234" s="831"/>
      <c r="G234" s="832"/>
      <c r="H234" s="832"/>
      <c r="I234" s="833"/>
      <c r="J234" s="955">
        <f>SUM(J230:J233)</f>
        <v>0</v>
      </c>
      <c r="K234" s="892"/>
      <c r="L234" s="830"/>
      <c r="M234" s="834"/>
    </row>
    <row r="235" spans="1:20" ht="25" customHeight="1">
      <c r="A235" s="2"/>
      <c r="B235" s="421"/>
      <c r="C235" s="59"/>
      <c r="D235" s="59"/>
      <c r="E235" s="59"/>
      <c r="F235" s="836"/>
      <c r="G235" s="837"/>
      <c r="H235" s="837"/>
      <c r="I235" s="838"/>
      <c r="J235" s="838"/>
      <c r="K235" s="893"/>
      <c r="L235" s="2"/>
      <c r="M235" s="670"/>
    </row>
    <row r="236" spans="1:20" ht="25" customHeight="1">
      <c r="A236" s="2"/>
      <c r="B236" s="645"/>
      <c r="C236" s="30"/>
      <c r="D236" s="36"/>
      <c r="E236" s="37"/>
      <c r="F236" s="40"/>
      <c r="G236" s="442"/>
      <c r="H236" s="30"/>
      <c r="I236" s="795"/>
      <c r="J236" s="750"/>
      <c r="K236" s="857"/>
      <c r="L236" s="2"/>
      <c r="M236" s="670"/>
    </row>
    <row r="237" spans="1:20" ht="25" customHeight="1">
      <c r="A237" s="839"/>
      <c r="B237" s="646"/>
      <c r="C237" s="42"/>
      <c r="D237" s="33"/>
      <c r="E237" s="34"/>
      <c r="F237" s="840"/>
      <c r="G237" s="827"/>
      <c r="H237" s="42"/>
      <c r="I237" s="841"/>
      <c r="J237" s="437"/>
      <c r="K237" s="596"/>
      <c r="L237" s="842"/>
      <c r="M237" s="670"/>
    </row>
    <row r="238" spans="1:20" s="112" customFormat="1" ht="25" customHeight="1">
      <c r="B238" s="647"/>
      <c r="C238" s="108"/>
      <c r="D238" s="109"/>
      <c r="E238" s="110"/>
      <c r="F238" s="843"/>
      <c r="G238" s="844"/>
      <c r="H238" s="108"/>
      <c r="I238" s="845"/>
      <c r="J238" s="846"/>
      <c r="K238" s="894"/>
    </row>
    <row r="239" spans="1:20" s="112" customFormat="1" ht="25" customHeight="1">
      <c r="B239" s="647"/>
      <c r="C239" s="108"/>
      <c r="D239" s="108"/>
      <c r="E239" s="108"/>
      <c r="F239" s="847"/>
      <c r="G239" s="848"/>
      <c r="H239" s="849"/>
      <c r="I239" s="849"/>
      <c r="J239" s="849"/>
      <c r="K239" s="895"/>
      <c r="L239" s="846"/>
      <c r="M239" s="846"/>
      <c r="N239" s="846"/>
    </row>
    <row r="240" spans="1:20" s="112" customFormat="1" ht="25" customHeight="1">
      <c r="B240" s="647"/>
      <c r="C240" s="108"/>
      <c r="D240" s="108"/>
      <c r="E240" s="108"/>
      <c r="F240" s="847"/>
      <c r="G240" s="848"/>
      <c r="H240" s="849"/>
      <c r="I240" s="849"/>
      <c r="J240" s="849"/>
      <c r="K240" s="895"/>
      <c r="L240" s="846"/>
      <c r="M240" s="846"/>
      <c r="N240" s="846"/>
    </row>
    <row r="241" spans="1:23" s="112" customFormat="1" ht="25" customHeight="1">
      <c r="B241" s="647"/>
      <c r="C241" s="108"/>
      <c r="D241" s="108"/>
      <c r="E241" s="108"/>
      <c r="F241" s="847"/>
      <c r="G241" s="848"/>
      <c r="H241" s="849"/>
      <c r="I241" s="849"/>
      <c r="J241" s="849"/>
      <c r="K241" s="895"/>
      <c r="L241" s="846"/>
      <c r="M241" s="846"/>
      <c r="N241" s="846"/>
    </row>
    <row r="242" spans="1:23" s="112" customFormat="1" ht="25" customHeight="1">
      <c r="B242" s="647"/>
      <c r="C242" s="108"/>
      <c r="D242" s="108"/>
      <c r="E242" s="108"/>
      <c r="F242" s="847"/>
      <c r="G242" s="848"/>
      <c r="H242" s="849"/>
      <c r="I242" s="849"/>
      <c r="J242" s="849"/>
      <c r="K242" s="895"/>
      <c r="L242" s="846"/>
      <c r="M242" s="846"/>
      <c r="N242" s="846"/>
    </row>
    <row r="243" spans="1:23" s="112" customFormat="1" ht="25" customHeight="1">
      <c r="B243" s="647"/>
      <c r="C243" s="108"/>
      <c r="D243" s="108"/>
      <c r="E243" s="108"/>
      <c r="F243" s="847"/>
      <c r="G243" s="848"/>
      <c r="H243" s="849"/>
      <c r="I243" s="849"/>
      <c r="J243" s="849"/>
      <c r="K243" s="895"/>
      <c r="L243" s="846"/>
      <c r="M243" s="846"/>
      <c r="N243" s="846"/>
    </row>
    <row r="244" spans="1:23" s="112" customFormat="1" ht="25" customHeight="1">
      <c r="B244" s="647"/>
      <c r="C244" s="108"/>
      <c r="D244" s="108"/>
      <c r="E244" s="108"/>
      <c r="F244" s="847"/>
      <c r="G244" s="848"/>
      <c r="H244" s="849"/>
      <c r="I244" s="849"/>
      <c r="J244" s="849"/>
      <c r="K244" s="895"/>
      <c r="L244" s="846"/>
      <c r="M244" s="846"/>
      <c r="N244" s="846"/>
    </row>
    <row r="245" spans="1:23" s="112" customFormat="1" ht="25" customHeight="1">
      <c r="B245" s="647"/>
      <c r="C245" s="108"/>
      <c r="D245" s="108"/>
      <c r="E245" s="108"/>
      <c r="F245" s="847"/>
      <c r="G245" s="848"/>
      <c r="H245" s="849"/>
      <c r="I245" s="849"/>
      <c r="J245" s="849"/>
      <c r="K245" s="895"/>
      <c r="L245" s="846"/>
      <c r="M245" s="846"/>
      <c r="N245" s="846"/>
    </row>
    <row r="246" spans="1:23" s="112" customFormat="1" ht="25" customHeight="1">
      <c r="B246" s="647"/>
      <c r="C246" s="108"/>
      <c r="D246" s="108"/>
      <c r="E246" s="108"/>
      <c r="F246" s="847"/>
      <c r="G246" s="848"/>
      <c r="H246" s="849"/>
      <c r="I246" s="849"/>
      <c r="J246" s="849"/>
      <c r="K246" s="895"/>
      <c r="L246" s="846"/>
      <c r="M246" s="846"/>
      <c r="N246" s="846"/>
    </row>
    <row r="247" spans="1:23" s="112" customFormat="1" ht="25" customHeight="1">
      <c r="B247" s="647"/>
      <c r="C247" s="108"/>
      <c r="D247" s="108"/>
      <c r="E247" s="108"/>
      <c r="F247" s="847"/>
      <c r="G247" s="848"/>
      <c r="H247" s="849"/>
      <c r="I247" s="849"/>
      <c r="J247" s="849"/>
      <c r="K247" s="895"/>
      <c r="L247" s="846"/>
      <c r="M247" s="846"/>
      <c r="N247" s="846"/>
    </row>
    <row r="248" spans="1:23" s="850" customFormat="1" ht="25" customHeight="1">
      <c r="A248" s="112"/>
      <c r="B248" s="647"/>
      <c r="C248" s="108"/>
      <c r="D248" s="108"/>
      <c r="E248" s="108"/>
      <c r="F248" s="847"/>
      <c r="G248" s="848"/>
      <c r="H248" s="849"/>
      <c r="I248" s="849"/>
      <c r="J248" s="849"/>
      <c r="K248" s="895"/>
      <c r="L248" s="846"/>
      <c r="M248" s="846"/>
      <c r="N248" s="846"/>
      <c r="O248" s="112"/>
      <c r="P248" s="112"/>
      <c r="Q248" s="112"/>
      <c r="R248" s="112"/>
      <c r="S248" s="112"/>
      <c r="T248" s="112"/>
      <c r="U248" s="112"/>
      <c r="V248" s="112"/>
      <c r="W248" s="112"/>
    </row>
    <row r="249" spans="1:23" s="112" customFormat="1" ht="25" customHeight="1">
      <c r="B249" s="647"/>
      <c r="C249" s="108"/>
      <c r="D249" s="108"/>
      <c r="E249" s="108"/>
      <c r="F249" s="847"/>
      <c r="G249" s="848"/>
      <c r="H249" s="849"/>
      <c r="I249" s="849"/>
      <c r="J249" s="849"/>
      <c r="K249" s="895"/>
      <c r="L249" s="846"/>
      <c r="M249" s="846"/>
      <c r="N249" s="846"/>
    </row>
    <row r="250" spans="1:23" s="112" customFormat="1" ht="25" customHeight="1">
      <c r="B250" s="647"/>
      <c r="C250" s="108"/>
      <c r="D250" s="108"/>
      <c r="E250" s="108"/>
      <c r="F250" s="847"/>
      <c r="G250" s="848"/>
      <c r="H250" s="849"/>
      <c r="I250" s="849"/>
      <c r="J250" s="849"/>
      <c r="K250" s="895"/>
      <c r="L250" s="846"/>
      <c r="M250" s="846"/>
      <c r="N250" s="846"/>
    </row>
    <row r="251" spans="1:23" s="112" customFormat="1" ht="25" customHeight="1">
      <c r="B251" s="647"/>
      <c r="C251" s="108"/>
      <c r="D251" s="108"/>
      <c r="E251" s="108"/>
      <c r="F251" s="847"/>
      <c r="G251" s="848"/>
      <c r="H251" s="849"/>
      <c r="I251" s="849"/>
      <c r="J251" s="849"/>
      <c r="K251" s="895"/>
      <c r="L251" s="846"/>
      <c r="M251" s="846"/>
      <c r="N251" s="846"/>
    </row>
    <row r="252" spans="1:23" s="112" customFormat="1" ht="25" customHeight="1">
      <c r="B252" s="647"/>
      <c r="C252" s="108"/>
      <c r="D252" s="108"/>
      <c r="E252" s="108"/>
      <c r="F252" s="847"/>
      <c r="G252" s="848"/>
      <c r="H252" s="849"/>
      <c r="I252" s="849"/>
      <c r="J252" s="849"/>
      <c r="K252" s="895"/>
      <c r="L252" s="846"/>
      <c r="M252" s="846"/>
      <c r="N252" s="846"/>
    </row>
    <row r="253" spans="1:23" s="112" customFormat="1" ht="25" customHeight="1">
      <c r="B253" s="647"/>
      <c r="C253" s="108"/>
      <c r="D253" s="108"/>
      <c r="E253" s="108"/>
      <c r="F253" s="847"/>
      <c r="G253" s="848"/>
      <c r="H253" s="849"/>
      <c r="I253" s="849"/>
      <c r="J253" s="849"/>
      <c r="K253" s="895"/>
      <c r="L253" s="846"/>
      <c r="M253" s="846"/>
      <c r="N253" s="846"/>
    </row>
    <row r="254" spans="1:23" s="112" customFormat="1" ht="25" customHeight="1">
      <c r="B254" s="647"/>
      <c r="C254" s="108"/>
      <c r="D254" s="108"/>
      <c r="E254" s="108"/>
      <c r="F254" s="847"/>
      <c r="G254" s="848"/>
      <c r="H254" s="849"/>
      <c r="I254" s="849"/>
      <c r="J254" s="849"/>
      <c r="K254" s="895"/>
      <c r="L254" s="846"/>
      <c r="M254" s="846"/>
      <c r="N254" s="846"/>
    </row>
    <row r="255" spans="1:23" s="112" customFormat="1" ht="25" customHeight="1">
      <c r="B255" s="647"/>
      <c r="C255" s="108"/>
      <c r="D255" s="108"/>
      <c r="E255" s="108"/>
      <c r="F255" s="847"/>
      <c r="G255" s="848"/>
      <c r="H255" s="849"/>
      <c r="I255" s="849"/>
      <c r="J255" s="849"/>
      <c r="K255" s="895"/>
      <c r="L255" s="846"/>
      <c r="M255" s="846"/>
      <c r="N255" s="846"/>
    </row>
    <row r="256" spans="1:23" s="112" customFormat="1" ht="25" customHeight="1">
      <c r="B256" s="647"/>
      <c r="C256" s="108"/>
      <c r="D256" s="108"/>
      <c r="E256" s="108"/>
      <c r="F256" s="847"/>
      <c r="G256" s="848"/>
      <c r="H256" s="849"/>
      <c r="I256" s="849"/>
      <c r="J256" s="849"/>
      <c r="K256" s="895"/>
      <c r="L256" s="846"/>
      <c r="M256" s="846"/>
      <c r="N256" s="846"/>
    </row>
    <row r="257" spans="2:14" s="112" customFormat="1" ht="25" customHeight="1">
      <c r="B257" s="647"/>
      <c r="C257" s="108"/>
      <c r="D257" s="108"/>
      <c r="E257" s="108"/>
      <c r="F257" s="847"/>
      <c r="G257" s="848"/>
      <c r="H257" s="849"/>
      <c r="I257" s="849"/>
      <c r="J257" s="849"/>
      <c r="K257" s="895"/>
      <c r="L257" s="846"/>
      <c r="M257" s="846"/>
      <c r="N257" s="846"/>
    </row>
    <row r="258" spans="2:14" s="112" customFormat="1" ht="25" customHeight="1">
      <c r="B258" s="647"/>
      <c r="C258" s="108"/>
      <c r="D258" s="108"/>
      <c r="E258" s="108"/>
      <c r="F258" s="847"/>
      <c r="G258" s="848"/>
      <c r="H258" s="849"/>
      <c r="I258" s="849"/>
      <c r="J258" s="849"/>
      <c r="K258" s="895"/>
      <c r="L258" s="846"/>
      <c r="M258" s="846"/>
      <c r="N258" s="846"/>
    </row>
    <row r="259" spans="2:14" s="112" customFormat="1" ht="25" customHeight="1">
      <c r="B259" s="647"/>
      <c r="C259" s="108"/>
      <c r="D259" s="108"/>
      <c r="E259" s="108"/>
      <c r="F259" s="847"/>
      <c r="G259" s="848"/>
      <c r="H259" s="849"/>
      <c r="I259" s="849"/>
      <c r="J259" s="849"/>
      <c r="K259" s="895"/>
      <c r="L259" s="846"/>
      <c r="M259" s="846"/>
      <c r="N259" s="846"/>
    </row>
    <row r="260" spans="2:14" s="112" customFormat="1" ht="25" customHeight="1">
      <c r="B260" s="647"/>
      <c r="C260" s="108"/>
      <c r="D260" s="108"/>
      <c r="E260" s="108"/>
      <c r="F260" s="847"/>
      <c r="G260" s="848"/>
      <c r="H260" s="849"/>
      <c r="I260" s="849"/>
      <c r="J260" s="849"/>
      <c r="K260" s="895"/>
      <c r="L260" s="846"/>
      <c r="M260" s="846"/>
      <c r="N260" s="846"/>
    </row>
    <row r="261" spans="2:14" s="112" customFormat="1" ht="25" customHeight="1">
      <c r="B261" s="647"/>
      <c r="C261" s="108"/>
      <c r="D261" s="108"/>
      <c r="E261" s="108"/>
      <c r="F261" s="847"/>
      <c r="G261" s="848"/>
      <c r="H261" s="849"/>
      <c r="I261" s="849"/>
      <c r="J261" s="849"/>
      <c r="K261" s="895"/>
      <c r="L261" s="846"/>
      <c r="M261" s="846"/>
      <c r="N261" s="846"/>
    </row>
    <row r="262" spans="2:14" s="112" customFormat="1" ht="25" customHeight="1">
      <c r="B262" s="647"/>
      <c r="C262" s="108"/>
      <c r="D262" s="108"/>
      <c r="E262" s="108"/>
      <c r="F262" s="847"/>
      <c r="G262" s="848"/>
      <c r="H262" s="849"/>
      <c r="I262" s="849"/>
      <c r="J262" s="849"/>
      <c r="K262" s="895"/>
      <c r="L262" s="846"/>
      <c r="M262" s="846"/>
      <c r="N262" s="846"/>
    </row>
    <row r="263" spans="2:14" s="112" customFormat="1" ht="25" customHeight="1">
      <c r="B263" s="647"/>
      <c r="C263" s="108"/>
      <c r="D263" s="108"/>
      <c r="E263" s="108"/>
      <c r="F263" s="847"/>
      <c r="G263" s="848"/>
      <c r="H263" s="849"/>
      <c r="I263" s="849"/>
      <c r="J263" s="849"/>
      <c r="K263" s="895"/>
      <c r="L263" s="846"/>
      <c r="M263" s="846"/>
      <c r="N263" s="846"/>
    </row>
    <row r="264" spans="2:14" s="112" customFormat="1" ht="25" customHeight="1">
      <c r="B264" s="647"/>
      <c r="C264" s="108"/>
      <c r="D264" s="108"/>
      <c r="E264" s="108"/>
      <c r="F264" s="847"/>
      <c r="G264" s="848"/>
      <c r="H264" s="849"/>
      <c r="I264" s="849"/>
      <c r="J264" s="849"/>
      <c r="K264" s="895"/>
      <c r="L264" s="846"/>
      <c r="M264" s="846"/>
      <c r="N264" s="846"/>
    </row>
    <row r="265" spans="2:14" s="112" customFormat="1" ht="25" customHeight="1">
      <c r="B265" s="647"/>
      <c r="C265" s="108"/>
      <c r="D265" s="108"/>
      <c r="E265" s="108"/>
      <c r="F265" s="847"/>
      <c r="G265" s="848"/>
      <c r="H265" s="849"/>
      <c r="I265" s="849"/>
      <c r="J265" s="849"/>
      <c r="K265" s="895"/>
      <c r="L265" s="846"/>
      <c r="M265" s="846"/>
      <c r="N265" s="846"/>
    </row>
    <row r="266" spans="2:14" s="112" customFormat="1" ht="25" customHeight="1">
      <c r="B266" s="647"/>
      <c r="C266" s="108"/>
      <c r="D266" s="108"/>
      <c r="E266" s="108"/>
      <c r="F266" s="847"/>
      <c r="G266" s="848"/>
      <c r="H266" s="849"/>
      <c r="I266" s="849"/>
      <c r="J266" s="849"/>
      <c r="K266" s="895"/>
      <c r="L266" s="846"/>
      <c r="M266" s="846"/>
      <c r="N266" s="846"/>
    </row>
    <row r="267" spans="2:14" s="112" customFormat="1" ht="25" customHeight="1">
      <c r="B267" s="647"/>
      <c r="C267" s="108"/>
      <c r="D267" s="108"/>
      <c r="E267" s="108"/>
      <c r="F267" s="847"/>
      <c r="G267" s="848"/>
      <c r="H267" s="849"/>
      <c r="I267" s="849"/>
      <c r="J267" s="849"/>
      <c r="K267" s="895"/>
      <c r="L267" s="846"/>
      <c r="M267" s="846"/>
      <c r="N267" s="846"/>
    </row>
    <row r="268" spans="2:14" s="112" customFormat="1" ht="25" customHeight="1">
      <c r="B268" s="648"/>
      <c r="K268" s="895"/>
      <c r="M268" s="851"/>
    </row>
    <row r="269" spans="2:14" s="112" customFormat="1" ht="25" customHeight="1">
      <c r="B269" s="648"/>
      <c r="K269" s="895"/>
      <c r="M269" s="851"/>
    </row>
    <row r="270" spans="2:14" s="112" customFormat="1" ht="25" customHeight="1">
      <c r="B270" s="648"/>
      <c r="K270" s="895"/>
      <c r="M270" s="851"/>
    </row>
    <row r="271" spans="2:14" s="112" customFormat="1" ht="25" customHeight="1">
      <c r="B271" s="648"/>
      <c r="K271" s="895"/>
      <c r="M271" s="851"/>
    </row>
    <row r="272" spans="2:14" s="112" customFormat="1" ht="25" customHeight="1">
      <c r="B272" s="648"/>
      <c r="K272" s="895"/>
      <c r="M272" s="851"/>
    </row>
    <row r="273" spans="2:13" s="112" customFormat="1" ht="25" customHeight="1">
      <c r="B273" s="648"/>
      <c r="K273" s="895"/>
      <c r="M273" s="851"/>
    </row>
    <row r="274" spans="2:13" s="112" customFormat="1" ht="25" customHeight="1">
      <c r="B274" s="648"/>
      <c r="K274" s="895"/>
      <c r="M274" s="851"/>
    </row>
    <row r="275" spans="2:13" s="112" customFormat="1" ht="25" customHeight="1">
      <c r="B275" s="648"/>
      <c r="K275" s="895"/>
      <c r="M275" s="851"/>
    </row>
    <row r="276" spans="2:13" s="112" customFormat="1" ht="25" customHeight="1">
      <c r="B276" s="648"/>
      <c r="K276" s="895"/>
      <c r="M276" s="851"/>
    </row>
    <row r="277" spans="2:13" s="112" customFormat="1" ht="25" customHeight="1">
      <c r="B277" s="648"/>
      <c r="K277" s="895"/>
      <c r="M277" s="851"/>
    </row>
    <row r="278" spans="2:13" s="112" customFormat="1" ht="25" customHeight="1">
      <c r="B278" s="648"/>
      <c r="K278" s="895"/>
      <c r="M278" s="851"/>
    </row>
    <row r="279" spans="2:13" s="112" customFormat="1" ht="25" customHeight="1">
      <c r="B279" s="648"/>
      <c r="K279" s="895"/>
      <c r="M279" s="851"/>
    </row>
    <row r="280" spans="2:13" s="112" customFormat="1" ht="25" customHeight="1">
      <c r="B280" s="648"/>
      <c r="K280" s="895"/>
      <c r="M280" s="851"/>
    </row>
    <row r="281" spans="2:13" s="112" customFormat="1" ht="25" customHeight="1">
      <c r="B281" s="648"/>
      <c r="K281" s="895"/>
      <c r="M281" s="851"/>
    </row>
    <row r="282" spans="2:13" s="112" customFormat="1" ht="25" customHeight="1">
      <c r="B282" s="648"/>
      <c r="K282" s="895"/>
      <c r="M282" s="851"/>
    </row>
    <row r="283" spans="2:13" s="112" customFormat="1" ht="25" customHeight="1">
      <c r="B283" s="648"/>
      <c r="K283" s="895"/>
      <c r="M283" s="851"/>
    </row>
    <row r="284" spans="2:13" s="112" customFormat="1" ht="25" customHeight="1">
      <c r="B284" s="648"/>
      <c r="K284" s="895"/>
      <c r="M284" s="851"/>
    </row>
    <row r="285" spans="2:13" s="112" customFormat="1" ht="25" customHeight="1">
      <c r="B285" s="648"/>
      <c r="K285" s="895"/>
      <c r="M285" s="851"/>
    </row>
    <row r="286" spans="2:13" s="112" customFormat="1" ht="25" customHeight="1">
      <c r="B286" s="648"/>
      <c r="K286" s="895"/>
      <c r="M286" s="851"/>
    </row>
    <row r="287" spans="2:13" s="112" customFormat="1" ht="25" customHeight="1">
      <c r="B287" s="648"/>
      <c r="K287" s="895"/>
      <c r="M287" s="851"/>
    </row>
    <row r="288" spans="2:13" s="112" customFormat="1" ht="25" customHeight="1">
      <c r="B288" s="648"/>
      <c r="K288" s="895"/>
      <c r="M288" s="851"/>
    </row>
    <row r="289" spans="2:13" s="112" customFormat="1" ht="25" customHeight="1">
      <c r="B289" s="648"/>
      <c r="K289" s="895"/>
      <c r="M289" s="851"/>
    </row>
    <row r="290" spans="2:13" s="112" customFormat="1" ht="25" customHeight="1">
      <c r="B290" s="648"/>
      <c r="K290" s="895"/>
      <c r="M290" s="851"/>
    </row>
    <row r="291" spans="2:13" s="112" customFormat="1" ht="25" customHeight="1">
      <c r="B291" s="648"/>
      <c r="K291" s="895"/>
      <c r="M291" s="851"/>
    </row>
    <row r="292" spans="2:13" s="112" customFormat="1" ht="25" customHeight="1">
      <c r="B292" s="648"/>
      <c r="K292" s="895"/>
      <c r="M292" s="851"/>
    </row>
    <row r="293" spans="2:13" s="112" customFormat="1" ht="25" customHeight="1">
      <c r="B293" s="648"/>
      <c r="K293" s="895"/>
      <c r="M293" s="851"/>
    </row>
    <row r="294" spans="2:13" s="112" customFormat="1" ht="25" customHeight="1">
      <c r="B294" s="648"/>
      <c r="K294" s="895"/>
      <c r="M294" s="851"/>
    </row>
    <row r="295" spans="2:13" s="112" customFormat="1" ht="25" customHeight="1">
      <c r="B295" s="648"/>
      <c r="K295" s="895"/>
      <c r="M295" s="851"/>
    </row>
    <row r="296" spans="2:13" s="112" customFormat="1" ht="25" customHeight="1">
      <c r="B296" s="648"/>
      <c r="K296" s="895"/>
      <c r="M296" s="851"/>
    </row>
    <row r="297" spans="2:13" s="112" customFormat="1" ht="25" customHeight="1">
      <c r="B297" s="648"/>
      <c r="K297" s="895"/>
      <c r="M297" s="851"/>
    </row>
    <row r="298" spans="2:13" s="112" customFormat="1" ht="25" customHeight="1">
      <c r="B298" s="648"/>
      <c r="K298" s="895"/>
      <c r="M298" s="851"/>
    </row>
    <row r="299" spans="2:13" s="112" customFormat="1" ht="25" customHeight="1">
      <c r="B299" s="648"/>
      <c r="K299" s="895"/>
      <c r="M299" s="851"/>
    </row>
    <row r="300" spans="2:13" s="112" customFormat="1" ht="25" customHeight="1">
      <c r="B300" s="648"/>
      <c r="K300" s="895"/>
      <c r="M300" s="851"/>
    </row>
    <row r="301" spans="2:13" s="112" customFormat="1" ht="25" customHeight="1">
      <c r="B301" s="648"/>
      <c r="K301" s="895"/>
      <c r="M301" s="851"/>
    </row>
    <row r="302" spans="2:13" s="112" customFormat="1" ht="25" customHeight="1">
      <c r="B302" s="648"/>
      <c r="K302" s="895"/>
      <c r="M302" s="851"/>
    </row>
    <row r="303" spans="2:13" s="112" customFormat="1" ht="25" customHeight="1">
      <c r="B303" s="648"/>
      <c r="K303" s="895"/>
      <c r="M303" s="851"/>
    </row>
    <row r="304" spans="2:13" s="112" customFormat="1" ht="25" customHeight="1">
      <c r="B304" s="648"/>
      <c r="K304" s="895"/>
      <c r="M304" s="851"/>
    </row>
    <row r="305" spans="2:13" s="112" customFormat="1" ht="25" customHeight="1">
      <c r="B305" s="648"/>
      <c r="K305" s="895"/>
      <c r="M305" s="851"/>
    </row>
    <row r="306" spans="2:13" s="112" customFormat="1" ht="25" customHeight="1">
      <c r="B306" s="648"/>
      <c r="K306" s="895"/>
      <c r="M306" s="851"/>
    </row>
    <row r="307" spans="2:13" s="112" customFormat="1" ht="25" customHeight="1">
      <c r="B307" s="648"/>
      <c r="K307" s="895"/>
      <c r="M307" s="851"/>
    </row>
    <row r="308" spans="2:13" s="112" customFormat="1" ht="25" customHeight="1">
      <c r="B308" s="648"/>
      <c r="K308" s="895"/>
      <c r="M308" s="851"/>
    </row>
    <row r="309" spans="2:13" s="112" customFormat="1" ht="25" customHeight="1">
      <c r="B309" s="648"/>
      <c r="K309" s="895"/>
      <c r="M309" s="851"/>
    </row>
    <row r="310" spans="2:13" s="112" customFormat="1" ht="25" customHeight="1">
      <c r="B310" s="648"/>
      <c r="K310" s="895"/>
      <c r="M310" s="851"/>
    </row>
    <row r="311" spans="2:13" s="112" customFormat="1" ht="25" customHeight="1">
      <c r="B311" s="648"/>
      <c r="K311" s="895"/>
      <c r="M311" s="851"/>
    </row>
    <row r="312" spans="2:13" s="112" customFormat="1" ht="25" customHeight="1">
      <c r="B312" s="648"/>
      <c r="K312" s="895"/>
      <c r="M312" s="851"/>
    </row>
    <row r="313" spans="2:13" s="112" customFormat="1" ht="25" customHeight="1">
      <c r="B313" s="648"/>
      <c r="K313" s="895"/>
      <c r="M313" s="851"/>
    </row>
    <row r="314" spans="2:13" s="112" customFormat="1" ht="25" customHeight="1">
      <c r="B314" s="648"/>
      <c r="K314" s="895"/>
      <c r="M314" s="851"/>
    </row>
    <row r="315" spans="2:13" s="112" customFormat="1" ht="25" customHeight="1">
      <c r="B315" s="648"/>
      <c r="K315" s="895"/>
      <c r="M315" s="851"/>
    </row>
    <row r="316" spans="2:13" s="112" customFormat="1" ht="25" customHeight="1">
      <c r="B316" s="648"/>
      <c r="K316" s="895"/>
      <c r="M316" s="851"/>
    </row>
    <row r="317" spans="2:13" s="112" customFormat="1" ht="25" customHeight="1">
      <c r="B317" s="648"/>
      <c r="K317" s="895"/>
      <c r="M317" s="851"/>
    </row>
    <row r="318" spans="2:13" s="112" customFormat="1" ht="25" customHeight="1">
      <c r="B318" s="648"/>
      <c r="K318" s="895"/>
      <c r="M318" s="851"/>
    </row>
    <row r="330" spans="2:4" ht="25" customHeight="1">
      <c r="B330" s="649"/>
      <c r="C330" s="38"/>
      <c r="D330" s="96"/>
    </row>
  </sheetData>
  <sheetProtection algorithmName="SHA-512" hashValue="obr5J8TMbf7jrlMfmPH/6R8c5gU6HWU1rFfFVvEnF2w3W2hvVVF45Ec2cef5XxM5SveblcPR1yx2wpsHFag/oA==" saltValue="YX9t+tSbk3LqJq30WQCWgw==" spinCount="100000" sheet="1" objects="1" scenarios="1" selectLockedCells="1"/>
  <mergeCells count="40">
    <mergeCell ref="B185:F185"/>
    <mergeCell ref="B186:F186"/>
    <mergeCell ref="B220:G222"/>
    <mergeCell ref="B223:F223"/>
    <mergeCell ref="C132:D132"/>
    <mergeCell ref="E132:F132"/>
    <mergeCell ref="B137:G139"/>
    <mergeCell ref="B182:G184"/>
    <mergeCell ref="C131:D131"/>
    <mergeCell ref="E131:F131"/>
    <mergeCell ref="D103:E103"/>
    <mergeCell ref="F103:G103"/>
    <mergeCell ref="H103:I103"/>
    <mergeCell ref="D104:E104"/>
    <mergeCell ref="F104:G104"/>
    <mergeCell ref="H104:I104"/>
    <mergeCell ref="B108:G110"/>
    <mergeCell ref="B123:G125"/>
    <mergeCell ref="C130:D130"/>
    <mergeCell ref="E130:F130"/>
    <mergeCell ref="G130:H130"/>
    <mergeCell ref="D101:E101"/>
    <mergeCell ref="F101:G101"/>
    <mergeCell ref="H101:I101"/>
    <mergeCell ref="D102:E102"/>
    <mergeCell ref="F102:G102"/>
    <mergeCell ref="H102:I102"/>
    <mergeCell ref="D100:E100"/>
    <mergeCell ref="F100:G100"/>
    <mergeCell ref="H100:I100"/>
    <mergeCell ref="B4:C4"/>
    <mergeCell ref="B15:G17"/>
    <mergeCell ref="B58:E58"/>
    <mergeCell ref="B68:E68"/>
    <mergeCell ref="B85:G87"/>
    <mergeCell ref="D98:E98"/>
    <mergeCell ref="F98:G98"/>
    <mergeCell ref="H98:I98"/>
    <mergeCell ref="B24:F24"/>
    <mergeCell ref="B43:F43"/>
  </mergeCells>
  <phoneticPr fontId="2" type="noConversion"/>
  <conditionalFormatting sqref="I26:I37 K26:K37 I45:I54 K45:K54 I60:I63 K60:K63 I70:I72 K70:K72 I79:I81 K79:K81 I93:I94 K93:K94 I116:I118 J117:J118 K116:K118">
    <cfRule type="cellIs" dxfId="129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27" r:id="rId3" xr:uid="{128D18DC-0284-AF41-89B0-BD9AA736B16F}"/>
    <hyperlink ref="B24" location="'SEK - Safesprings tjänster 2022'!I83" display="Central blocklagring kan köpas till insatserna. Se &quot;Central blocklagring&quot; i prislistan." xr:uid="{C111D816-BB78-B140-B21A-FA041663F9EF}"/>
    <hyperlink ref="B24:E24" location="'EUR - Safespring services 2022'!I81" display="Central block storage can be purchased for the instances. See &quot;Central block storage&quot; in the price list." xr:uid="{4C30F13F-376E-4A4E-97CC-D9CADA14B63F}"/>
    <hyperlink ref="B58" location="'SEK - Safesprings tjänster 2022'!I83" display="Central blocklagring kan köpas till insatserna. Se &quot;Central blocklagring&quot; i prislistan." xr:uid="{94663253-D790-624E-980C-3D8271E9FE28}"/>
    <hyperlink ref="B58:E58" location="'SEK - Safesprings tjänster 2022'!I81" display="Central blocklagring kan köpas till insatserna. Se &quot;Central blocklagring&quot; i prislistan." xr:uid="{558CA654-9343-844E-B1F2-9024192B08DF}"/>
    <hyperlink ref="B68" location="'SEK - Safesprings tjänster 2022'!I83" display="Central blocklagring kan köpas till insatserna. Se &quot;Central blocklagring&quot; i prislistan." xr:uid="{4D66963B-4C3B-2747-A3A7-EC7E42F42755}"/>
    <hyperlink ref="B68:E68" location="'SEK - Safesprings tjänster 2022'!I81" display="Central blocklagring kan köpas till insatserna. Se &quot;Central blocklagring&quot; i prislistan." xr:uid="{2694137C-A7AC-1A4F-BF8F-65A56639E707}"/>
    <hyperlink ref="B24:F24" location="'EUR - Safespring services 2022'!I81" display="Central block storage can be purchased for the instances. See &quot;Central block storage&quot; in the price list." xr:uid="{F86A0464-3271-654C-A7C8-493A1DE2D507}"/>
    <hyperlink ref="B43" location="'SEK - Safesprings tjänster 2022'!I83" display="Central blocklagring kan köpas till insatserna. Se &quot;Central blocklagring&quot; i prislistan." xr:uid="{6B3EB40B-7D23-914E-B01A-A235AF4CC2B2}"/>
    <hyperlink ref="B43:E43" location="'EUR - Safespring services 2022'!I81" display="Central block storage can be purchased for the instances. See &quot;Central block storage&quot; in the price list." xr:uid="{6B3B8FA4-C88A-5F4D-9A6B-3EA6FAAC3555}"/>
    <hyperlink ref="B43:F43" location="'EUR - Safespring services 2022'!I81" display="Central block storage can be purchased for the instances. See &quot;Central block storage&quot; in the price list." xr:uid="{1ED82870-8C9B-CB46-B2BD-E8CDB6614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3" man="1"/>
    <brk id="82" max="13" man="1"/>
    <brk id="237" max="13" man="1"/>
    <brk id="257" max="13" man="1"/>
    <brk id="279" max="16383" man="1"/>
  </rowBreak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8" name="Option Button 2">
              <controlPr defaultSize="0" autoFill="0" autoLine="0" autoPict="0" altText="None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9" name="Option Button 3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327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594" customWidth="1"/>
    <col min="14" max="14" width="14.83203125" style="161" customWidth="1"/>
    <col min="15" max="16384" width="15" style="161"/>
  </cols>
  <sheetData>
    <row r="1" spans="1:28" ht="25" customHeight="1">
      <c r="A1" s="601"/>
      <c r="B1" s="61"/>
      <c r="C1" s="61"/>
      <c r="D1" s="2"/>
      <c r="E1" s="2"/>
      <c r="F1" s="157"/>
      <c r="G1" s="157"/>
      <c r="H1" s="157"/>
      <c r="I1" s="157"/>
      <c r="J1" s="157"/>
      <c r="K1" s="157"/>
      <c r="L1" s="159"/>
      <c r="M1" s="564"/>
      <c r="N1" s="157"/>
      <c r="O1" s="160"/>
    </row>
    <row r="2" spans="1:28" ht="2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7"/>
      <c r="L2" s="159"/>
      <c r="M2" s="564"/>
      <c r="N2" s="157"/>
      <c r="O2" s="160"/>
    </row>
    <row r="3" spans="1:28" ht="2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7"/>
      <c r="L3" s="159"/>
      <c r="M3" s="564"/>
      <c r="N3" s="157"/>
      <c r="O3" s="160"/>
    </row>
    <row r="4" spans="1:28" ht="25" customHeight="1">
      <c r="A4" s="157"/>
      <c r="B4" s="1020"/>
      <c r="C4" s="1020"/>
      <c r="D4" s="2"/>
      <c r="E4" s="2"/>
      <c r="F4" s="157"/>
      <c r="G4" s="157"/>
      <c r="H4" s="157"/>
      <c r="I4" s="157"/>
      <c r="J4" s="157"/>
      <c r="K4" s="157"/>
      <c r="L4" s="159"/>
      <c r="M4" s="564"/>
      <c r="N4" s="157"/>
      <c r="O4" s="160"/>
    </row>
    <row r="5" spans="1:28" ht="25" customHeight="1">
      <c r="A5" s="157"/>
      <c r="B5" s="65" t="s">
        <v>438</v>
      </c>
      <c r="C5" s="65"/>
      <c r="D5" s="2"/>
      <c r="E5" s="2"/>
      <c r="F5" s="157"/>
      <c r="G5" s="157"/>
      <c r="H5" s="157"/>
      <c r="I5" s="157"/>
      <c r="J5" s="157"/>
      <c r="K5" s="157"/>
      <c r="L5" s="159"/>
      <c r="M5" s="564"/>
      <c r="N5" s="157"/>
      <c r="O5" s="160"/>
    </row>
    <row r="6" spans="1:28" ht="2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7"/>
      <c r="L6" s="159"/>
      <c r="M6" s="564"/>
      <c r="N6" s="157"/>
      <c r="O6" s="160"/>
    </row>
    <row r="7" spans="1:28" ht="2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7"/>
      <c r="L7" s="159"/>
      <c r="M7" s="564"/>
      <c r="N7" s="157"/>
      <c r="O7" s="160"/>
    </row>
    <row r="8" spans="1:28" ht="25" customHeight="1">
      <c r="A8" s="157"/>
      <c r="B8" s="68" t="s">
        <v>0</v>
      </c>
      <c r="C8" s="61"/>
      <c r="D8" s="68" t="s">
        <v>1</v>
      </c>
      <c r="E8" s="2"/>
      <c r="F8" s="157"/>
      <c r="G8" s="157"/>
      <c r="H8" s="157"/>
      <c r="I8" s="157"/>
      <c r="J8" s="157"/>
      <c r="K8" s="157"/>
      <c r="L8" s="159"/>
      <c r="M8" s="564"/>
      <c r="N8" s="157"/>
      <c r="O8" s="160"/>
    </row>
    <row r="9" spans="1:28" ht="25" customHeight="1">
      <c r="A9" s="157"/>
      <c r="B9" s="77" t="s">
        <v>2</v>
      </c>
      <c r="C9" s="61"/>
      <c r="D9" s="157"/>
      <c r="E9" s="157"/>
      <c r="F9" s="157"/>
      <c r="G9" s="157"/>
      <c r="H9" s="157"/>
      <c r="I9" s="157"/>
      <c r="J9" s="157"/>
      <c r="K9" s="157"/>
      <c r="L9" s="159"/>
      <c r="M9" s="564"/>
      <c r="N9" s="157"/>
      <c r="O9" s="160"/>
    </row>
    <row r="10" spans="1:28" ht="25" customHeight="1">
      <c r="A10" s="157"/>
      <c r="B10" s="436" t="s">
        <v>3</v>
      </c>
      <c r="C10" s="402"/>
      <c r="D10" s="157"/>
      <c r="E10" s="157"/>
      <c r="F10" s="157"/>
      <c r="G10" s="157"/>
      <c r="H10" s="157"/>
      <c r="I10" s="157"/>
      <c r="J10" s="157"/>
      <c r="K10" s="157"/>
      <c r="L10" s="159"/>
      <c r="M10" s="564"/>
      <c r="N10" s="157"/>
      <c r="O10" s="160"/>
    </row>
    <row r="11" spans="1:28" s="169" customFormat="1" ht="25" customHeight="1">
      <c r="A11" s="162"/>
      <c r="B11" s="62"/>
      <c r="C11" s="62"/>
      <c r="D11" s="1022" t="str">
        <f>"1 SEK = "&amp;EUR&amp;" EUR"</f>
        <v>1 SEK = 0,092 EUR</v>
      </c>
      <c r="E11" s="1022"/>
      <c r="F11" s="1022"/>
      <c r="G11" s="164"/>
      <c r="H11" s="164"/>
      <c r="I11" s="165"/>
      <c r="J11" s="162"/>
      <c r="K11" s="162"/>
      <c r="L11" s="167"/>
      <c r="M11" s="565"/>
      <c r="N11" s="162"/>
      <c r="O11" s="168"/>
    </row>
    <row r="12" spans="1:28" s="169" customFormat="1" ht="25" customHeight="1">
      <c r="A12" s="170"/>
      <c r="B12" s="64"/>
      <c r="C12" s="64"/>
      <c r="D12" s="63"/>
      <c r="E12" s="63"/>
      <c r="F12" s="170"/>
      <c r="G12" s="171"/>
      <c r="H12" s="171"/>
      <c r="I12" s="172"/>
      <c r="J12" s="170"/>
      <c r="K12" s="170"/>
      <c r="L12" s="174"/>
      <c r="M12" s="566"/>
      <c r="N12" s="175"/>
      <c r="O12" s="168"/>
    </row>
    <row r="13" spans="1:28" s="169" customFormat="1" ht="25" customHeight="1">
      <c r="B13" s="5"/>
      <c r="C13" s="4"/>
      <c r="D13" s="4"/>
      <c r="E13" s="4"/>
      <c r="G13" s="176"/>
      <c r="H13" s="176"/>
      <c r="I13" s="177"/>
      <c r="L13" s="179"/>
      <c r="M13" s="567"/>
      <c r="O13" s="168"/>
    </row>
    <row r="14" spans="1:28" s="169" customFormat="1" ht="25" customHeight="1">
      <c r="B14" s="5"/>
      <c r="C14" s="4"/>
      <c r="D14" s="4"/>
      <c r="E14" s="4"/>
      <c r="G14" s="176"/>
      <c r="H14" s="176"/>
      <c r="I14" s="177"/>
      <c r="L14" s="179"/>
      <c r="M14" s="567"/>
      <c r="O14" s="168"/>
    </row>
    <row r="15" spans="1:28" s="169" customFormat="1" ht="25" customHeight="1">
      <c r="B15" s="994" t="s">
        <v>4</v>
      </c>
      <c r="C15" s="994"/>
      <c r="D15" s="994"/>
      <c r="E15" s="994"/>
      <c r="F15" s="994"/>
      <c r="G15" s="994"/>
      <c r="H15" s="177"/>
      <c r="J15" s="178"/>
      <c r="L15" s="179"/>
      <c r="M15" s="567"/>
      <c r="O15" s="168"/>
      <c r="U15" s="180"/>
      <c r="Z15" s="180"/>
      <c r="AA15" s="180"/>
      <c r="AB15" s="180"/>
    </row>
    <row r="16" spans="1:28" s="169" customFormat="1" ht="25" customHeight="1">
      <c r="B16" s="994"/>
      <c r="C16" s="994"/>
      <c r="D16" s="994"/>
      <c r="E16" s="994"/>
      <c r="F16" s="994"/>
      <c r="G16" s="994"/>
      <c r="H16" s="177"/>
      <c r="J16" s="178"/>
      <c r="L16" s="179"/>
      <c r="M16" s="567"/>
      <c r="O16" s="168"/>
      <c r="U16" s="180"/>
      <c r="Z16" s="180"/>
      <c r="AA16" s="180"/>
      <c r="AB16" s="180"/>
    </row>
    <row r="17" spans="2:28" s="169" customFormat="1" ht="25" customHeight="1">
      <c r="B17" s="994"/>
      <c r="C17" s="994"/>
      <c r="D17" s="994"/>
      <c r="E17" s="994"/>
      <c r="F17" s="994"/>
      <c r="G17" s="994"/>
      <c r="H17" s="177"/>
      <c r="J17" s="178"/>
      <c r="L17" s="179"/>
      <c r="M17" s="567"/>
      <c r="O17" s="168"/>
      <c r="U17" s="180"/>
      <c r="Z17" s="180"/>
      <c r="AA17" s="180"/>
      <c r="AB17" s="180"/>
    </row>
    <row r="18" spans="2:28" s="169" customFormat="1" ht="25" customHeight="1">
      <c r="B18" s="551" t="s">
        <v>5</v>
      </c>
      <c r="C18" s="415"/>
      <c r="D18" s="415"/>
      <c r="E18" s="415"/>
      <c r="F18" s="538"/>
      <c r="H18" s="177"/>
      <c r="J18" s="178"/>
      <c r="L18" s="179"/>
      <c r="M18" s="567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" customHeight="1">
      <c r="B19" s="1021" t="s">
        <v>6</v>
      </c>
      <c r="C19" s="1021"/>
      <c r="D19" s="1021"/>
      <c r="E19" s="1021"/>
      <c r="F19" s="1021"/>
      <c r="G19" s="182"/>
      <c r="H19" s="183"/>
      <c r="I19" s="182"/>
      <c r="J19" s="184"/>
      <c r="K19" s="182"/>
      <c r="L19" s="186"/>
      <c r="M19" s="568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" customHeight="1">
      <c r="B20" s="554" t="s">
        <v>406</v>
      </c>
      <c r="C20" s="74"/>
      <c r="D20" s="74"/>
      <c r="E20" s="74"/>
      <c r="F20" s="530"/>
      <c r="G20" s="182"/>
      <c r="H20" s="183"/>
      <c r="I20" s="182"/>
      <c r="J20" s="184"/>
      <c r="K20" s="182"/>
      <c r="L20" s="186"/>
      <c r="M20" s="568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" customHeight="1">
      <c r="B21" s="133"/>
      <c r="C21" s="133"/>
      <c r="D21" s="133"/>
      <c r="E21" s="133"/>
      <c r="F21" s="530"/>
      <c r="G21" s="182"/>
      <c r="H21" s="183"/>
      <c r="I21" s="182"/>
      <c r="J21" s="184"/>
      <c r="K21" s="182"/>
      <c r="L21" s="186"/>
      <c r="M21" s="568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" customHeight="1">
      <c r="B22" s="133"/>
      <c r="C22" s="133"/>
      <c r="D22" s="133"/>
      <c r="E22" s="133"/>
      <c r="F22" s="530"/>
      <c r="G22" s="182"/>
      <c r="H22" s="183"/>
      <c r="I22" s="182"/>
      <c r="J22" s="184"/>
      <c r="K22" s="182"/>
      <c r="L22" s="186"/>
      <c r="M22" s="568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25" customHeight="1">
      <c r="B23" s="443" t="s">
        <v>8</v>
      </c>
      <c r="C23" s="9"/>
      <c r="D23" s="9"/>
      <c r="K23" s="191"/>
      <c r="O23" s="160"/>
    </row>
    <row r="24" spans="2:28" s="196" customFormat="1" ht="25" customHeight="1">
      <c r="B24" s="444" t="s">
        <v>9</v>
      </c>
      <c r="C24" s="11" t="s">
        <v>10</v>
      </c>
      <c r="D24" s="11" t="s">
        <v>11</v>
      </c>
      <c r="E24" s="12" t="s">
        <v>12</v>
      </c>
      <c r="F24" s="192"/>
      <c r="G24" s="193" t="s">
        <v>13</v>
      </c>
      <c r="H24" s="602" t="s">
        <v>419</v>
      </c>
      <c r="I24" s="194" t="s">
        <v>15</v>
      </c>
      <c r="J24" s="195"/>
      <c r="K24" s="193" t="s">
        <v>17</v>
      </c>
      <c r="O24" s="197"/>
      <c r="Q24" s="198"/>
      <c r="R24" s="199"/>
      <c r="S24" s="199"/>
      <c r="T24" s="199"/>
      <c r="U24" s="198"/>
    </row>
    <row r="25" spans="2:28" s="180" customFormat="1" ht="25" customHeight="1">
      <c r="B25" s="445" t="s">
        <v>19</v>
      </c>
      <c r="C25" s="14">
        <v>1</v>
      </c>
      <c r="D25" s="14">
        <v>1</v>
      </c>
      <c r="E25" s="14">
        <v>40</v>
      </c>
      <c r="F25" s="200"/>
      <c r="G25" s="403">
        <f t="shared" ref="G25:G37" si="0">H25/720</f>
        <v>3.5650000000000001E-2</v>
      </c>
      <c r="H25" s="403">
        <f>C25*IAAS_vcpu_EUR+D25*IAAS_ram_EUR+E25*IAAS_ssd_EUR</f>
        <v>25.667999999999999</v>
      </c>
      <c r="I25" s="203"/>
      <c r="J25" s="200" t="s">
        <v>15</v>
      </c>
      <c r="K25" s="405">
        <f t="shared" ref="K25:K37" si="1">ROUNDUP(I25*H25,2)</f>
        <v>0</v>
      </c>
      <c r="O25" s="205"/>
    </row>
    <row r="26" spans="2:28" s="180" customFormat="1" ht="25" customHeight="1">
      <c r="B26" s="446" t="s">
        <v>20</v>
      </c>
      <c r="C26" s="16">
        <v>1</v>
      </c>
      <c r="D26" s="16">
        <v>2</v>
      </c>
      <c r="E26" s="16">
        <v>40</v>
      </c>
      <c r="F26" s="206"/>
      <c r="G26" s="404">
        <f t="shared" si="0"/>
        <v>4.2677777777777773E-2</v>
      </c>
      <c r="H26" s="404">
        <f>C26*IAAS_vcpu_EUR+D26*IAAS_ram_EUR+E26*IAAS_ssd_EUR</f>
        <v>30.727999999999994</v>
      </c>
      <c r="I26" s="203"/>
      <c r="J26" s="206" t="str">
        <f t="shared" ref="J26:J33" si="2">J25</f>
        <v>Instances</v>
      </c>
      <c r="K26" s="406">
        <f t="shared" si="1"/>
        <v>0</v>
      </c>
      <c r="O26" s="205"/>
    </row>
    <row r="27" spans="2:28" s="180" customFormat="1" ht="25" customHeight="1">
      <c r="B27" s="445" t="s">
        <v>21</v>
      </c>
      <c r="C27" s="14">
        <v>2</v>
      </c>
      <c r="D27" s="14">
        <v>4</v>
      </c>
      <c r="E27" s="14">
        <v>40</v>
      </c>
      <c r="F27" s="200"/>
      <c r="G27" s="403">
        <f t="shared" si="0"/>
        <v>6.6955555555555546E-2</v>
      </c>
      <c r="H27" s="403">
        <f t="shared" ref="H27:H36" si="3">C27*IAAS_vcpu_EUR+D27*IAAS_ram_EUR+E27*IAAS_ssd_EUR</f>
        <v>48.207999999999991</v>
      </c>
      <c r="I27" s="203"/>
      <c r="J27" s="200" t="str">
        <f t="shared" si="2"/>
        <v>Instances</v>
      </c>
      <c r="K27" s="405">
        <f t="shared" si="1"/>
        <v>0</v>
      </c>
      <c r="L27" s="210"/>
      <c r="O27" s="205"/>
    </row>
    <row r="28" spans="2:28" s="180" customFormat="1" ht="25" customHeight="1">
      <c r="B28" s="446" t="s">
        <v>22</v>
      </c>
      <c r="C28" s="16">
        <v>4</v>
      </c>
      <c r="D28" s="16">
        <v>8</v>
      </c>
      <c r="E28" s="16">
        <v>40</v>
      </c>
      <c r="F28" s="206"/>
      <c r="G28" s="404">
        <f t="shared" si="0"/>
        <v>0.11551111111111111</v>
      </c>
      <c r="H28" s="404">
        <f t="shared" si="3"/>
        <v>83.167999999999992</v>
      </c>
      <c r="I28" s="203"/>
      <c r="J28" s="206" t="str">
        <f t="shared" si="2"/>
        <v>Instances</v>
      </c>
      <c r="K28" s="406">
        <f t="shared" si="1"/>
        <v>0</v>
      </c>
      <c r="O28" s="205"/>
    </row>
    <row r="29" spans="2:28" s="180" customFormat="1" ht="25" customHeight="1">
      <c r="B29" s="445" t="s">
        <v>23</v>
      </c>
      <c r="C29" s="14">
        <v>8</v>
      </c>
      <c r="D29" s="14">
        <v>16</v>
      </c>
      <c r="E29" s="14">
        <v>40</v>
      </c>
      <c r="F29" s="200"/>
      <c r="G29" s="403">
        <f t="shared" si="0"/>
        <v>0.21262222222222218</v>
      </c>
      <c r="H29" s="403">
        <f t="shared" si="3"/>
        <v>153.08799999999997</v>
      </c>
      <c r="I29" s="203"/>
      <c r="J29" s="200" t="str">
        <f t="shared" si="2"/>
        <v>Instances</v>
      </c>
      <c r="K29" s="405">
        <f t="shared" si="1"/>
        <v>0</v>
      </c>
      <c r="O29" s="205"/>
    </row>
    <row r="30" spans="2:28" s="180" customFormat="1" ht="25" customHeight="1">
      <c r="B30" s="446" t="s">
        <v>24</v>
      </c>
      <c r="C30" s="16">
        <v>16</v>
      </c>
      <c r="D30" s="16">
        <v>32</v>
      </c>
      <c r="E30" s="16">
        <v>40</v>
      </c>
      <c r="F30" s="206"/>
      <c r="G30" s="404">
        <f t="shared" si="0"/>
        <v>0.40684444444444434</v>
      </c>
      <c r="H30" s="404">
        <f t="shared" si="3"/>
        <v>292.92799999999994</v>
      </c>
      <c r="I30" s="203"/>
      <c r="J30" s="206" t="str">
        <f t="shared" si="2"/>
        <v>Instances</v>
      </c>
      <c r="K30" s="406">
        <f t="shared" si="1"/>
        <v>0</v>
      </c>
      <c r="O30" s="205"/>
    </row>
    <row r="31" spans="2:28" s="180" customFormat="1" ht="25" customHeight="1">
      <c r="B31" s="445" t="s">
        <v>25</v>
      </c>
      <c r="C31" s="14">
        <v>1</v>
      </c>
      <c r="D31" s="14">
        <v>4</v>
      </c>
      <c r="E31" s="14">
        <v>40</v>
      </c>
      <c r="F31" s="200"/>
      <c r="G31" s="403">
        <f t="shared" si="0"/>
        <v>5.673333333333333E-2</v>
      </c>
      <c r="H31" s="403">
        <f t="shared" si="3"/>
        <v>40.847999999999999</v>
      </c>
      <c r="I31" s="203"/>
      <c r="J31" s="200" t="str">
        <f t="shared" si="2"/>
        <v>Instances</v>
      </c>
      <c r="K31" s="405">
        <f t="shared" si="1"/>
        <v>0</v>
      </c>
      <c r="O31" s="205"/>
    </row>
    <row r="32" spans="2:28" s="180" customFormat="1" ht="25" customHeight="1">
      <c r="B32" s="446" t="s">
        <v>26</v>
      </c>
      <c r="C32" s="16">
        <v>2</v>
      </c>
      <c r="D32" s="16">
        <v>8</v>
      </c>
      <c r="E32" s="16">
        <v>40</v>
      </c>
      <c r="F32" s="206"/>
      <c r="G32" s="404">
        <f t="shared" si="0"/>
        <v>9.506666666666666E-2</v>
      </c>
      <c r="H32" s="404">
        <f t="shared" si="3"/>
        <v>68.447999999999993</v>
      </c>
      <c r="I32" s="203"/>
      <c r="J32" s="206" t="str">
        <f t="shared" si="2"/>
        <v>Instances</v>
      </c>
      <c r="K32" s="406">
        <f t="shared" si="1"/>
        <v>0</v>
      </c>
      <c r="O32" s="205"/>
    </row>
    <row r="33" spans="2:20" s="180" customFormat="1" ht="25" customHeight="1">
      <c r="B33" s="445" t="s">
        <v>27</v>
      </c>
      <c r="C33" s="14">
        <v>4</v>
      </c>
      <c r="D33" s="14">
        <v>16</v>
      </c>
      <c r="E33" s="14">
        <v>40</v>
      </c>
      <c r="F33" s="200"/>
      <c r="G33" s="403">
        <f t="shared" si="0"/>
        <v>0.17173333333333332</v>
      </c>
      <c r="H33" s="403">
        <f t="shared" si="3"/>
        <v>123.648</v>
      </c>
      <c r="I33" s="203"/>
      <c r="J33" s="200" t="str">
        <f t="shared" si="2"/>
        <v>Instances</v>
      </c>
      <c r="K33" s="405">
        <f t="shared" si="1"/>
        <v>0</v>
      </c>
      <c r="O33" s="205"/>
    </row>
    <row r="34" spans="2:20" s="180" customFormat="1" ht="25" customHeight="1">
      <c r="B34" s="446" t="s">
        <v>28</v>
      </c>
      <c r="C34" s="16">
        <v>8</v>
      </c>
      <c r="D34" s="16">
        <v>32</v>
      </c>
      <c r="E34" s="16">
        <v>40</v>
      </c>
      <c r="F34" s="206"/>
      <c r="G34" s="404">
        <f t="shared" ref="G34:G35" si="4">H34/720</f>
        <v>0.32506666666666661</v>
      </c>
      <c r="H34" s="404">
        <f t="shared" ref="H34" si="5">C34*IAAS_vcpu_EUR+D34*IAAS_ram_EUR+E34*IAAS_ssd_EUR</f>
        <v>234.04799999999997</v>
      </c>
      <c r="I34" s="203"/>
      <c r="J34" s="206" t="str">
        <f>J33</f>
        <v>Instances</v>
      </c>
      <c r="K34" s="406">
        <f t="shared" si="1"/>
        <v>0</v>
      </c>
      <c r="O34" s="205"/>
      <c r="R34" s="188"/>
      <c r="S34" s="188"/>
      <c r="T34" s="188"/>
    </row>
    <row r="35" spans="2:20" s="180" customFormat="1" ht="25" customHeight="1">
      <c r="B35" s="445" t="s">
        <v>29</v>
      </c>
      <c r="C35" s="14">
        <v>16</v>
      </c>
      <c r="D35" s="14">
        <v>64</v>
      </c>
      <c r="E35" s="14">
        <v>40</v>
      </c>
      <c r="F35" s="200"/>
      <c r="G35" s="403">
        <f t="shared" si="4"/>
        <v>0.63173333333333326</v>
      </c>
      <c r="H35" s="403">
        <f>C35*IAAS_vcpu_EUR+D35*IAAS_ram_EUR+E35*IAAS_ssd_EUR</f>
        <v>454.84799999999996</v>
      </c>
      <c r="I35" s="203"/>
      <c r="J35" s="200" t="str">
        <f>J34</f>
        <v>Instances</v>
      </c>
      <c r="K35" s="405">
        <f t="shared" si="1"/>
        <v>0</v>
      </c>
      <c r="O35" s="205"/>
      <c r="R35" s="188"/>
      <c r="S35" s="188"/>
      <c r="T35" s="188"/>
    </row>
    <row r="36" spans="2:20" s="180" customFormat="1" ht="25" customHeight="1">
      <c r="B36" s="446" t="s">
        <v>397</v>
      </c>
      <c r="C36" s="16">
        <v>32</v>
      </c>
      <c r="D36" s="16">
        <v>128</v>
      </c>
      <c r="E36" s="16">
        <v>40</v>
      </c>
      <c r="F36" s="206"/>
      <c r="G36" s="404">
        <f t="shared" si="0"/>
        <v>1.2450666666666665</v>
      </c>
      <c r="H36" s="404">
        <f t="shared" si="3"/>
        <v>896.44799999999998</v>
      </c>
      <c r="I36" s="203"/>
      <c r="J36" s="206" t="str">
        <f>J35</f>
        <v>Instances</v>
      </c>
      <c r="K36" s="406">
        <f t="shared" si="1"/>
        <v>0</v>
      </c>
      <c r="O36" s="205"/>
      <c r="R36" s="188"/>
      <c r="S36" s="188"/>
      <c r="T36" s="188"/>
    </row>
    <row r="37" spans="2:20" s="180" customFormat="1" ht="25" customHeight="1">
      <c r="B37" s="445" t="s">
        <v>398</v>
      </c>
      <c r="C37" s="14">
        <v>64</v>
      </c>
      <c r="D37" s="14">
        <v>256</v>
      </c>
      <c r="E37" s="14">
        <v>40</v>
      </c>
      <c r="F37" s="200"/>
      <c r="G37" s="403">
        <f t="shared" si="0"/>
        <v>2.4717333333333333</v>
      </c>
      <c r="H37" s="403">
        <f>C37*IAAS_vcpu_EUR+D37*IAAS_ram_EUR+E37*IAAS_ssd_EUR</f>
        <v>1779.6479999999999</v>
      </c>
      <c r="I37" s="203"/>
      <c r="J37" s="200" t="str">
        <f>J36</f>
        <v>Instances</v>
      </c>
      <c r="K37" s="405">
        <f t="shared" si="1"/>
        <v>0</v>
      </c>
      <c r="O37" s="205"/>
      <c r="R37" s="188"/>
      <c r="S37" s="188"/>
      <c r="T37" s="188"/>
    </row>
    <row r="38" spans="2:20" ht="25" customHeight="1">
      <c r="B38" s="447" t="s">
        <v>30</v>
      </c>
      <c r="C38" s="560" cm="1">
        <f t="array" ref="C38">SUM(C25:C37*I25:I37)</f>
        <v>0</v>
      </c>
      <c r="D38" s="560" cm="1">
        <f t="array" ref="D38">SUM(D25:D37*I25:I37)</f>
        <v>0</v>
      </c>
      <c r="E38" s="560" cm="1">
        <f t="array" ref="E38">SUM(E25:E37*I25:I37)</f>
        <v>0</v>
      </c>
      <c r="F38" s="447"/>
      <c r="G38" s="447"/>
      <c r="H38" s="447"/>
      <c r="I38" s="560">
        <f>SUM(I25:I37)</f>
        <v>0</v>
      </c>
      <c r="J38" s="447"/>
      <c r="K38" s="561" t="str">
        <f>SUM(K25:K37)&amp;" €"</f>
        <v>0 €</v>
      </c>
      <c r="O38" s="160"/>
      <c r="R38" s="188"/>
      <c r="S38" s="188"/>
      <c r="T38" s="214"/>
    </row>
    <row r="39" spans="2:20" ht="2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25" customHeight="1">
      <c r="B41" s="416" t="s">
        <v>31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25" customHeight="1">
      <c r="B42" s="444" t="s">
        <v>9</v>
      </c>
      <c r="C42" s="11" t="s">
        <v>10</v>
      </c>
      <c r="D42" s="11" t="s">
        <v>11</v>
      </c>
      <c r="E42" s="12" t="s">
        <v>32</v>
      </c>
      <c r="F42" s="192"/>
      <c r="G42" s="193" t="s">
        <v>13</v>
      </c>
      <c r="H42" s="602" t="s">
        <v>419</v>
      </c>
      <c r="I42" s="194" t="s">
        <v>15</v>
      </c>
      <c r="J42" s="195"/>
      <c r="K42" s="193" t="s">
        <v>17</v>
      </c>
      <c r="O42" s="160"/>
      <c r="P42" s="161"/>
      <c r="Q42" s="161"/>
      <c r="R42" s="188"/>
      <c r="S42" s="188"/>
      <c r="T42" s="214"/>
    </row>
    <row r="43" spans="2:20" s="180" customFormat="1" ht="2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409">
        <f t="shared" ref="G43:G65" si="6">H43/720</f>
        <v>1.8527777777777775E-2</v>
      </c>
      <c r="H43" s="409">
        <f t="shared" ref="H43:H65" si="7">C43*IAAS_vcpu_EUR+D43*IAAS_ram_EUR+E43*IAAS_nvme_EUR</f>
        <v>13.339999999999998</v>
      </c>
      <c r="I43" s="203"/>
      <c r="J43" s="200" t="str">
        <f>J37</f>
        <v>Instances</v>
      </c>
      <c r="K43" s="405">
        <f t="shared" ref="K43:K66" si="8">ROUNDUP(I43*H43,2)</f>
        <v>0</v>
      </c>
      <c r="O43" s="205"/>
      <c r="R43" s="188"/>
      <c r="T43" s="188"/>
    </row>
    <row r="44" spans="2:20" s="180" customFormat="1" ht="25" customHeight="1">
      <c r="B44" s="446" t="s">
        <v>402</v>
      </c>
      <c r="C44" s="95">
        <v>1</v>
      </c>
      <c r="D44" s="95">
        <v>2</v>
      </c>
      <c r="E44" s="113">
        <v>20</v>
      </c>
      <c r="F44" s="228"/>
      <c r="G44" s="408">
        <f t="shared" si="6"/>
        <v>2.6833333333333327E-2</v>
      </c>
      <c r="H44" s="408">
        <f t="shared" si="7"/>
        <v>19.319999999999997</v>
      </c>
      <c r="I44" s="203"/>
      <c r="J44" s="206" t="str">
        <f>J43</f>
        <v>Instances</v>
      </c>
      <c r="K44" s="406">
        <f t="shared" si="8"/>
        <v>0</v>
      </c>
      <c r="O44" s="205"/>
      <c r="R44" s="188"/>
      <c r="T44" s="188"/>
    </row>
    <row r="45" spans="2:20" s="180" customFormat="1" ht="25" customHeight="1">
      <c r="B45" s="445" t="s">
        <v>404</v>
      </c>
      <c r="C45" s="97">
        <v>2</v>
      </c>
      <c r="D45" s="97">
        <v>4</v>
      </c>
      <c r="E45" s="98">
        <v>250</v>
      </c>
      <c r="F45" s="231"/>
      <c r="G45" s="409">
        <f t="shared" si="6"/>
        <v>8.0499999999999988E-2</v>
      </c>
      <c r="H45" s="409">
        <f t="shared" si="7"/>
        <v>57.959999999999994</v>
      </c>
      <c r="I45" s="203"/>
      <c r="J45" s="200" t="str">
        <f t="shared" ref="J45:J66" si="9">J44</f>
        <v>Instances</v>
      </c>
      <c r="K45" s="405">
        <f t="shared" si="8"/>
        <v>0</v>
      </c>
      <c r="O45" s="205"/>
      <c r="R45" s="188"/>
      <c r="T45" s="188"/>
    </row>
    <row r="46" spans="2:20" s="180" customFormat="1" ht="2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408">
        <f t="shared" si="6"/>
        <v>0.12905555555555553</v>
      </c>
      <c r="H46" s="408">
        <f t="shared" si="7"/>
        <v>92.919999999999987</v>
      </c>
      <c r="I46" s="203"/>
      <c r="J46" s="206" t="str">
        <f t="shared" si="9"/>
        <v>Instances</v>
      </c>
      <c r="K46" s="406">
        <f t="shared" si="8"/>
        <v>0</v>
      </c>
      <c r="O46" s="205"/>
      <c r="R46" s="188"/>
      <c r="T46" s="188"/>
    </row>
    <row r="47" spans="2:20" s="180" customFormat="1" ht="2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409">
        <f t="shared" si="6"/>
        <v>0.22616666666666663</v>
      </c>
      <c r="H47" s="409">
        <f t="shared" si="7"/>
        <v>162.83999999999997</v>
      </c>
      <c r="I47" s="203"/>
      <c r="J47" s="200" t="str">
        <f t="shared" si="9"/>
        <v>Instances</v>
      </c>
      <c r="K47" s="405">
        <f t="shared" si="8"/>
        <v>0</v>
      </c>
      <c r="O47" s="205"/>
      <c r="R47" s="188"/>
      <c r="T47" s="188"/>
    </row>
    <row r="48" spans="2:20" s="180" customFormat="1" ht="2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408">
        <f t="shared" si="6"/>
        <v>0.42038888888888881</v>
      </c>
      <c r="H48" s="408">
        <f t="shared" si="7"/>
        <v>302.67999999999995</v>
      </c>
      <c r="I48" s="203"/>
      <c r="J48" s="206" t="str">
        <f t="shared" si="9"/>
        <v>Instances</v>
      </c>
      <c r="K48" s="406">
        <f t="shared" si="8"/>
        <v>0</v>
      </c>
      <c r="O48" s="205"/>
      <c r="R48" s="188"/>
      <c r="T48" s="188"/>
    </row>
    <row r="49" spans="2:20" s="180" customFormat="1" ht="2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409">
        <f t="shared" si="6"/>
        <v>0.45233333333333325</v>
      </c>
      <c r="H49" s="409">
        <f t="shared" si="7"/>
        <v>325.67999999999995</v>
      </c>
      <c r="I49" s="203"/>
      <c r="J49" s="200" t="str">
        <f t="shared" si="9"/>
        <v>Instances</v>
      </c>
      <c r="K49" s="405">
        <f t="shared" si="8"/>
        <v>0</v>
      </c>
      <c r="O49" s="205"/>
      <c r="R49" s="188"/>
      <c r="T49" s="188"/>
    </row>
    <row r="50" spans="2:20" s="180" customFormat="1" ht="2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408">
        <f t="shared" si="6"/>
        <v>0.51622222222222214</v>
      </c>
      <c r="H50" s="408">
        <f t="shared" si="7"/>
        <v>371.67999999999995</v>
      </c>
      <c r="I50" s="203"/>
      <c r="J50" s="206" t="str">
        <f t="shared" si="9"/>
        <v>Instances</v>
      </c>
      <c r="K50" s="406">
        <f t="shared" si="8"/>
        <v>0</v>
      </c>
      <c r="O50" s="205"/>
      <c r="R50" s="188"/>
      <c r="T50" s="188"/>
    </row>
    <row r="51" spans="2:20" s="180" customFormat="1" ht="2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409">
        <f t="shared" si="6"/>
        <v>0.80883333333333318</v>
      </c>
      <c r="H51" s="409">
        <f t="shared" si="7"/>
        <v>582.3599999999999</v>
      </c>
      <c r="I51" s="203"/>
      <c r="J51" s="200" t="str">
        <f t="shared" si="9"/>
        <v>Instances</v>
      </c>
      <c r="K51" s="405">
        <f t="shared" si="8"/>
        <v>0</v>
      </c>
      <c r="O51" s="205"/>
      <c r="R51" s="188"/>
      <c r="T51" s="188"/>
    </row>
    <row r="52" spans="2:20" s="180" customFormat="1" ht="2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408">
        <f t="shared" si="6"/>
        <v>0.84077777777777762</v>
      </c>
      <c r="H52" s="408">
        <f t="shared" si="7"/>
        <v>605.3599999999999</v>
      </c>
      <c r="I52" s="203"/>
      <c r="J52" s="206" t="str">
        <f>J47</f>
        <v>Instances</v>
      </c>
      <c r="K52" s="406">
        <f t="shared" si="8"/>
        <v>0</v>
      </c>
      <c r="O52" s="205"/>
      <c r="R52" s="188"/>
      <c r="T52" s="188"/>
    </row>
    <row r="53" spans="2:20" s="180" customFormat="1" ht="2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409">
        <f t="shared" si="6"/>
        <v>0.90466666666666651</v>
      </c>
      <c r="H53" s="409">
        <f t="shared" si="7"/>
        <v>651.3599999999999</v>
      </c>
      <c r="I53" s="203"/>
      <c r="J53" s="200" t="str">
        <f t="shared" si="9"/>
        <v>Instances</v>
      </c>
      <c r="K53" s="405">
        <f t="shared" si="8"/>
        <v>0</v>
      </c>
      <c r="O53" s="205"/>
      <c r="R53" s="188"/>
      <c r="T53" s="188"/>
    </row>
    <row r="54" spans="2:20" s="180" customFormat="1" ht="25" customHeight="1">
      <c r="B54" s="446" t="s">
        <v>403</v>
      </c>
      <c r="C54" s="95">
        <v>1</v>
      </c>
      <c r="D54" s="95">
        <v>4</v>
      </c>
      <c r="E54" s="113">
        <v>20</v>
      </c>
      <c r="F54" s="228"/>
      <c r="G54" s="408">
        <f t="shared" si="6"/>
        <v>4.0888888888888884E-2</v>
      </c>
      <c r="H54" s="408">
        <f t="shared" si="7"/>
        <v>29.439999999999998</v>
      </c>
      <c r="I54" s="203"/>
      <c r="J54" s="206" t="str">
        <f t="shared" si="9"/>
        <v>Instances</v>
      </c>
      <c r="K54" s="406">
        <f t="shared" si="8"/>
        <v>0</v>
      </c>
      <c r="O54" s="205"/>
      <c r="R54" s="188"/>
      <c r="T54" s="188"/>
    </row>
    <row r="55" spans="2:20" s="180" customFormat="1" ht="25" customHeight="1">
      <c r="B55" s="445" t="s">
        <v>405</v>
      </c>
      <c r="C55" s="97">
        <v>2</v>
      </c>
      <c r="D55" s="97">
        <v>8</v>
      </c>
      <c r="E55" s="98">
        <v>250</v>
      </c>
      <c r="F55" s="231"/>
      <c r="G55" s="409">
        <f t="shared" si="6"/>
        <v>0.10861111111111109</v>
      </c>
      <c r="H55" s="409">
        <f t="shared" si="7"/>
        <v>78.199999999999989</v>
      </c>
      <c r="I55" s="203"/>
      <c r="J55" s="200" t="str">
        <f t="shared" si="9"/>
        <v>Instances</v>
      </c>
      <c r="K55" s="405">
        <f t="shared" si="8"/>
        <v>0</v>
      </c>
      <c r="O55" s="205"/>
      <c r="R55" s="188"/>
      <c r="T55" s="188"/>
    </row>
    <row r="56" spans="2:20" s="180" customFormat="1" ht="2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408">
        <f t="shared" si="6"/>
        <v>0.18527777777777774</v>
      </c>
      <c r="H56" s="408">
        <f t="shared" si="7"/>
        <v>133.39999999999998</v>
      </c>
      <c r="I56" s="203"/>
      <c r="J56" s="206" t="str">
        <f t="shared" si="9"/>
        <v>Instances</v>
      </c>
      <c r="K56" s="406">
        <f t="shared" si="8"/>
        <v>0</v>
      </c>
      <c r="O56" s="205"/>
      <c r="R56" s="188"/>
      <c r="T56" s="188"/>
    </row>
    <row r="57" spans="2:20" s="180" customFormat="1" ht="2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409">
        <f t="shared" si="6"/>
        <v>0.33861111111111108</v>
      </c>
      <c r="H57" s="409">
        <f t="shared" si="7"/>
        <v>243.79999999999998</v>
      </c>
      <c r="I57" s="203"/>
      <c r="J57" s="200" t="str">
        <f t="shared" si="9"/>
        <v>Instances</v>
      </c>
      <c r="K57" s="405">
        <f t="shared" si="8"/>
        <v>0</v>
      </c>
      <c r="O57" s="205"/>
      <c r="R57" s="188"/>
      <c r="T57" s="188"/>
    </row>
    <row r="58" spans="2:20" s="180" customFormat="1" ht="2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408">
        <f t="shared" si="6"/>
        <v>0.37055555555555547</v>
      </c>
      <c r="H58" s="408">
        <f t="shared" si="7"/>
        <v>266.79999999999995</v>
      </c>
      <c r="I58" s="203"/>
      <c r="J58" s="206" t="str">
        <f t="shared" si="9"/>
        <v>Instances</v>
      </c>
      <c r="K58" s="406">
        <f t="shared" si="8"/>
        <v>0</v>
      </c>
      <c r="O58" s="205"/>
      <c r="R58" s="188"/>
      <c r="T58" s="188"/>
    </row>
    <row r="59" spans="2:20" s="180" customFormat="1" ht="2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409">
        <f t="shared" si="6"/>
        <v>0.43444444444444436</v>
      </c>
      <c r="H59" s="409">
        <f t="shared" si="7"/>
        <v>312.79999999999995</v>
      </c>
      <c r="I59" s="203"/>
      <c r="J59" s="200" t="str">
        <f t="shared" si="9"/>
        <v>Instances</v>
      </c>
      <c r="K59" s="405">
        <f t="shared" si="8"/>
        <v>0</v>
      </c>
      <c r="O59" s="205"/>
      <c r="R59" s="188"/>
      <c r="T59" s="188"/>
    </row>
    <row r="60" spans="2:20" s="180" customFormat="1" ht="2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408">
        <f t="shared" si="6"/>
        <v>0.64527777777777773</v>
      </c>
      <c r="H60" s="408">
        <f t="shared" si="7"/>
        <v>464.59999999999997</v>
      </c>
      <c r="I60" s="203"/>
      <c r="J60" s="206" t="str">
        <f t="shared" si="9"/>
        <v>Instances</v>
      </c>
      <c r="K60" s="406">
        <f t="shared" si="8"/>
        <v>0</v>
      </c>
      <c r="O60" s="205"/>
      <c r="R60" s="188"/>
      <c r="T60" s="188"/>
    </row>
    <row r="61" spans="2:20" s="180" customFormat="1" ht="2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409">
        <f t="shared" si="6"/>
        <v>0.67722222222222217</v>
      </c>
      <c r="H61" s="409">
        <f t="shared" si="7"/>
        <v>487.59999999999997</v>
      </c>
      <c r="I61" s="203"/>
      <c r="J61" s="200" t="str">
        <f t="shared" si="9"/>
        <v>Instances</v>
      </c>
      <c r="K61" s="405">
        <f t="shared" si="8"/>
        <v>0</v>
      </c>
      <c r="O61" s="205"/>
      <c r="R61" s="188"/>
      <c r="T61" s="188"/>
    </row>
    <row r="62" spans="2:20" s="180" customFormat="1" ht="2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408">
        <f t="shared" ref="G62:G63" si="10">H62/720</f>
        <v>0.74111111111111094</v>
      </c>
      <c r="H62" s="408">
        <f t="shared" ref="H62:H63" si="11">C62*IAAS_vcpu_EUR+D62*IAAS_ram_EUR+E62*IAAS_nvme_EUR</f>
        <v>533.59999999999991</v>
      </c>
      <c r="I62" s="203"/>
      <c r="J62" s="206" t="str">
        <f t="shared" si="9"/>
        <v>Instances</v>
      </c>
      <c r="K62" s="406">
        <f t="shared" si="8"/>
        <v>0</v>
      </c>
      <c r="O62" s="205"/>
      <c r="R62" s="188"/>
      <c r="T62" s="188"/>
    </row>
    <row r="63" spans="2:20" s="180" customFormat="1" ht="2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409">
        <f t="shared" si="10"/>
        <v>1.2586111111111111</v>
      </c>
      <c r="H63" s="409">
        <f t="shared" si="11"/>
        <v>906.19999999999993</v>
      </c>
      <c r="I63" s="203"/>
      <c r="J63" s="200" t="str">
        <f t="shared" si="9"/>
        <v>Instances</v>
      </c>
      <c r="K63" s="405">
        <f t="shared" si="8"/>
        <v>0</v>
      </c>
      <c r="O63" s="205"/>
      <c r="R63" s="188"/>
      <c r="T63" s="188"/>
    </row>
    <row r="64" spans="2:20" s="180" customFormat="1" ht="2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408">
        <f t="shared" si="6"/>
        <v>1.2905555555555555</v>
      </c>
      <c r="H64" s="408">
        <f t="shared" si="7"/>
        <v>929.19999999999993</v>
      </c>
      <c r="I64" s="203"/>
      <c r="J64" s="206" t="str">
        <f t="shared" si="9"/>
        <v>Instances</v>
      </c>
      <c r="K64" s="406">
        <f t="shared" si="8"/>
        <v>0</v>
      </c>
      <c r="O64" s="205"/>
      <c r="R64" s="188"/>
      <c r="T64" s="188"/>
    </row>
    <row r="65" spans="2:23" s="180" customFormat="1" ht="2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409">
        <f t="shared" si="6"/>
        <v>1.3544444444444443</v>
      </c>
      <c r="H65" s="409">
        <f t="shared" si="7"/>
        <v>975.19999999999993</v>
      </c>
      <c r="I65" s="203"/>
      <c r="J65" s="200" t="str">
        <f t="shared" si="9"/>
        <v>Instances</v>
      </c>
      <c r="K65" s="405">
        <f t="shared" si="8"/>
        <v>0</v>
      </c>
      <c r="O65" s="205"/>
      <c r="R65" s="188"/>
      <c r="T65" s="188"/>
    </row>
    <row r="66" spans="2:23" s="180" customFormat="1" ht="25" customHeight="1">
      <c r="B66" s="446" t="s">
        <v>396</v>
      </c>
      <c r="C66" s="95">
        <v>64</v>
      </c>
      <c r="D66" s="95">
        <v>256</v>
      </c>
      <c r="E66" s="113">
        <v>1000</v>
      </c>
      <c r="F66" s="228"/>
      <c r="G66" s="408">
        <f t="shared" ref="G66" si="12">H66/720</f>
        <v>2.5811111111111109</v>
      </c>
      <c r="H66" s="408">
        <f t="shared" ref="H66" si="13">C66*IAAS_vcpu_EUR+D66*IAAS_ram_EUR+E66*IAAS_nvme_EUR</f>
        <v>1858.3999999999999</v>
      </c>
      <c r="I66" s="203"/>
      <c r="J66" s="206" t="str">
        <f t="shared" si="9"/>
        <v>Instances</v>
      </c>
      <c r="K66" s="406">
        <f t="shared" si="8"/>
        <v>0</v>
      </c>
      <c r="O66" s="205"/>
      <c r="R66" s="188"/>
      <c r="T66" s="188"/>
    </row>
    <row r="67" spans="2:23" s="180" customFormat="1" ht="25" customHeight="1">
      <c r="B67" s="447" t="s">
        <v>30</v>
      </c>
      <c r="C67" s="155" cm="1">
        <f t="array" ref="C67">SUM(C43:C66*I43:I66)</f>
        <v>0</v>
      </c>
      <c r="D67" s="155" cm="1">
        <f t="array" ref="D67">SUM(D43:D66*I43:I66)</f>
        <v>0</v>
      </c>
      <c r="E67" s="562" cm="1">
        <f t="array" ref="E67">SUM(E43:E66*I43:I66)</f>
        <v>0</v>
      </c>
      <c r="F67" s="155"/>
      <c r="G67" s="155"/>
      <c r="H67" s="155"/>
      <c r="I67" s="155">
        <f>SUM(I43:I66)</f>
        <v>0</v>
      </c>
      <c r="J67" s="156"/>
      <c r="K67" s="407">
        <f>SUM(K43:K65)</f>
        <v>0</v>
      </c>
      <c r="O67" s="205"/>
      <c r="R67" s="188"/>
      <c r="T67" s="188"/>
    </row>
    <row r="68" spans="2:23" ht="2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O68" s="160"/>
      <c r="R68" s="188"/>
      <c r="S68" s="188"/>
      <c r="T68" s="214"/>
    </row>
    <row r="69" spans="2:23" ht="2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574"/>
      <c r="M69" s="161"/>
      <c r="O69" s="160"/>
      <c r="S69" s="188"/>
      <c r="T69" s="188"/>
      <c r="U69" s="214"/>
    </row>
    <row r="70" spans="2:23" ht="25" customHeight="1">
      <c r="B70" s="450" t="s">
        <v>52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575"/>
      <c r="O70" s="160"/>
      <c r="T70" s="188"/>
      <c r="U70" s="188"/>
      <c r="V70" s="214"/>
    </row>
    <row r="71" spans="2:23" s="242" customFormat="1" ht="25" customHeight="1">
      <c r="B71" s="444" t="s">
        <v>9</v>
      </c>
      <c r="C71" s="11" t="s">
        <v>10</v>
      </c>
      <c r="D71" s="11" t="s">
        <v>11</v>
      </c>
      <c r="E71" s="12" t="s">
        <v>32</v>
      </c>
      <c r="F71" s="192" t="s">
        <v>53</v>
      </c>
      <c r="G71" s="193" t="s">
        <v>13</v>
      </c>
      <c r="H71" s="193" t="s">
        <v>14</v>
      </c>
      <c r="I71" s="194" t="s">
        <v>15</v>
      </c>
      <c r="J71" s="194" t="s">
        <v>16</v>
      </c>
      <c r="K71" s="195"/>
      <c r="L71" s="193" t="s">
        <v>17</v>
      </c>
      <c r="M71" s="569" t="s">
        <v>18</v>
      </c>
      <c r="N71" s="240"/>
      <c r="O71" s="241"/>
      <c r="P71" s="240"/>
      <c r="Q71" s="240"/>
      <c r="U71" s="243"/>
      <c r="V71" s="243"/>
      <c r="W71" s="244"/>
    </row>
    <row r="72" spans="2:23" s="180" customFormat="1" ht="25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09">
        <f t="shared" ref="G72:G75" si="14">H72/720</f>
        <v>0.88805555555555549</v>
      </c>
      <c r="H72" s="409">
        <f>C72*IAAS_vcpu_EUR+D72*IAAS_ram_EUR+E72*IAAS_nvme_EUR+F72*IAAS_gpu_EUR</f>
        <v>639.4</v>
      </c>
      <c r="I72" s="203"/>
      <c r="J72" s="203"/>
      <c r="K72" s="200" t="str">
        <f>J61</f>
        <v>Instances</v>
      </c>
      <c r="L72" s="405">
        <f>ROUNDUP(I72*H72,2)</f>
        <v>0</v>
      </c>
      <c r="M72" s="570">
        <f>J72*C72*SW_win.ser.201X_EUR</f>
        <v>0</v>
      </c>
      <c r="O72" s="205"/>
      <c r="T72" s="188"/>
      <c r="V72" s="188"/>
    </row>
    <row r="73" spans="2:23" s="180" customFormat="1" ht="25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08">
        <f t="shared" si="14"/>
        <v>1.776111111111111</v>
      </c>
      <c r="H73" s="408">
        <f>C73*IAAS_vcpu_EUR+D73*IAAS_ram_EUR+E73*IAAS_nvme_EUR+F73*IAAS_gpu_EUR</f>
        <v>1278.8</v>
      </c>
      <c r="I73" s="203"/>
      <c r="J73" s="203"/>
      <c r="K73" s="206" t="str">
        <f>J62</f>
        <v>Instances</v>
      </c>
      <c r="L73" s="406">
        <f>ROUNDUP(I73*H73,2)</f>
        <v>0</v>
      </c>
      <c r="M73" s="572">
        <f>J73*C73*SW_win.ser.201X_EUR</f>
        <v>0</v>
      </c>
      <c r="O73" s="205"/>
      <c r="T73" s="188"/>
      <c r="V73" s="188"/>
    </row>
    <row r="74" spans="2:23" s="180" customFormat="1" ht="25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09">
        <f t="shared" si="14"/>
        <v>3.5522222222222219</v>
      </c>
      <c r="H74" s="409">
        <f>C74*IAAS_vcpu_EUR+D74*IAAS_ram_EUR+E74*IAAS_nvme_EUR+F74*IAAS_gpu_EUR</f>
        <v>2557.6</v>
      </c>
      <c r="I74" s="203"/>
      <c r="J74" s="203"/>
      <c r="K74" s="200" t="str">
        <f>J63</f>
        <v>Instances</v>
      </c>
      <c r="L74" s="405">
        <f>ROUNDUP(I74*H74,2)</f>
        <v>0</v>
      </c>
      <c r="M74" s="570">
        <f>J74*C74*SW_win.ser.201X_EUR</f>
        <v>0</v>
      </c>
      <c r="O74" s="205"/>
      <c r="T74" s="188"/>
      <c r="V74" s="188"/>
    </row>
    <row r="75" spans="2:23" s="180" customFormat="1" ht="25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08">
        <f t="shared" si="14"/>
        <v>5.5711111111111107</v>
      </c>
      <c r="H75" s="408">
        <f>C75*IAAS_vcpu_EUR+D75*IAAS_ram_EUR+E75*IAAS_nvme_EUR+F75*IAAS_gpu_EUR</f>
        <v>4011.2</v>
      </c>
      <c r="I75" s="203"/>
      <c r="J75" s="203"/>
      <c r="K75" s="206" t="str">
        <f>J64</f>
        <v>Instances</v>
      </c>
      <c r="L75" s="406">
        <f>ROUNDUP(I75*H75,2)</f>
        <v>0</v>
      </c>
      <c r="M75" s="572">
        <f>J75*C75*SW_win.ser.201X_EUR</f>
        <v>0</v>
      </c>
      <c r="O75" s="205"/>
      <c r="T75" s="188"/>
      <c r="V75" s="188"/>
    </row>
    <row r="76" spans="2:23" s="249" customFormat="1" ht="25" customHeight="1">
      <c r="B76" s="447" t="s">
        <v>30</v>
      </c>
      <c r="C76" s="87"/>
      <c r="D76" s="87"/>
      <c r="E76" s="87"/>
      <c r="F76" s="211"/>
      <c r="G76" s="212"/>
      <c r="H76" s="213"/>
      <c r="I76" s="155">
        <f>SUM(I72:I75)</f>
        <v>0</v>
      </c>
      <c r="J76" s="155">
        <f>SUM(J72:J75)</f>
        <v>0</v>
      </c>
      <c r="K76" s="156"/>
      <c r="L76" s="407">
        <f>SUM(L72:L75)</f>
        <v>0</v>
      </c>
      <c r="M76" s="573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576"/>
      <c r="O77" s="205"/>
      <c r="T77" s="188"/>
      <c r="V77" s="188"/>
    </row>
    <row r="78" spans="2:23" s="180" customFormat="1" ht="25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576"/>
      <c r="O78" s="205"/>
      <c r="T78" s="188"/>
      <c r="V78" s="188"/>
    </row>
    <row r="79" spans="2:23" s="223" customFormat="1" ht="25" customHeight="1">
      <c r="B79" s="416" t="s">
        <v>58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576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25" customHeight="1">
      <c r="B80" s="444" t="s">
        <v>9</v>
      </c>
      <c r="C80" s="11" t="s">
        <v>10</v>
      </c>
      <c r="D80" s="11" t="s">
        <v>11</v>
      </c>
      <c r="E80" s="12" t="s">
        <v>32</v>
      </c>
      <c r="F80" s="192"/>
      <c r="G80" s="193" t="s">
        <v>13</v>
      </c>
      <c r="H80" s="193" t="s">
        <v>14</v>
      </c>
      <c r="I80" s="194" t="s">
        <v>15</v>
      </c>
      <c r="J80" s="194" t="s">
        <v>16</v>
      </c>
      <c r="K80" s="195"/>
      <c r="L80" s="193" t="s">
        <v>17</v>
      </c>
      <c r="M80" s="569" t="s">
        <v>18</v>
      </c>
      <c r="N80" s="240"/>
      <c r="O80" s="241"/>
      <c r="P80" s="240"/>
      <c r="Q80" s="240"/>
      <c r="U80" s="243"/>
      <c r="V80" s="243"/>
      <c r="W80" s="244"/>
    </row>
    <row r="81" spans="2:23" s="180" customFormat="1" ht="25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409">
        <f t="shared" ref="G81:G83" si="15">H81/720</f>
        <v>0.874</v>
      </c>
      <c r="H81" s="409">
        <f>INSTANCE_p1.2xlarge.16d_EUR</f>
        <v>629.28</v>
      </c>
      <c r="I81" s="203"/>
      <c r="J81" s="203"/>
      <c r="K81" s="200" t="s">
        <v>60</v>
      </c>
      <c r="L81" s="405">
        <f>ROUNDUP(I81*H81,2)</f>
        <v>0</v>
      </c>
      <c r="M81" s="570">
        <f>J81*C81*SW_win.ser.201X_EUR</f>
        <v>0</v>
      </c>
      <c r="N81" s="189"/>
      <c r="O81" s="205"/>
    </row>
    <row r="82" spans="2:23" s="180" customFormat="1" ht="25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408">
        <f t="shared" si="15"/>
        <v>1.748</v>
      </c>
      <c r="H82" s="408">
        <f>INSTANCE_p1.4xlarge.16d_EUR</f>
        <v>1258.56</v>
      </c>
      <c r="I82" s="203"/>
      <c r="J82" s="203"/>
      <c r="K82" s="206" t="str">
        <f t="shared" ref="K82" si="16">K81</f>
        <v>Instanser</v>
      </c>
      <c r="L82" s="406">
        <f>ROUNDUP(I82*H82,2)</f>
        <v>0</v>
      </c>
      <c r="M82" s="572">
        <f>J82*C82*SW_win.ser.201X_EUR</f>
        <v>0</v>
      </c>
      <c r="N82" s="189"/>
      <c r="O82" s="205"/>
      <c r="W82" s="188"/>
    </row>
    <row r="83" spans="2:23" s="246" customFormat="1" ht="25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410">
        <f t="shared" si="15"/>
        <v>3.496</v>
      </c>
      <c r="H83" s="411">
        <f>INSTANCE_p1.8xlarge.32d_EUR</f>
        <v>2517.12</v>
      </c>
      <c r="I83" s="203"/>
      <c r="J83" s="203"/>
      <c r="K83" s="200" t="s">
        <v>60</v>
      </c>
      <c r="L83" s="405">
        <f>ROUNDUP(I83*H83,2)</f>
        <v>0</v>
      </c>
      <c r="M83" s="570">
        <f>J83*C83*SW_win.ser.201X_EUR</f>
        <v>0</v>
      </c>
      <c r="N83" s="261"/>
      <c r="O83" s="262"/>
    </row>
    <row r="84" spans="2:23" ht="25" customHeight="1">
      <c r="B84" s="447" t="s">
        <v>30</v>
      </c>
      <c r="C84" s="87"/>
      <c r="D84" s="87"/>
      <c r="E84" s="87"/>
      <c r="F84" s="211"/>
      <c r="G84" s="212"/>
      <c r="H84" s="213"/>
      <c r="I84" s="155">
        <f>SUM(I81:I83)</f>
        <v>0</v>
      </c>
      <c r="J84" s="155">
        <f>SUM(J81:J83)</f>
        <v>0</v>
      </c>
      <c r="K84" s="156"/>
      <c r="L84" s="407">
        <f>SUM(L81:L83)</f>
        <v>0</v>
      </c>
      <c r="M84" s="573">
        <f>SUM(M81:M83)</f>
        <v>0</v>
      </c>
      <c r="O84" s="160"/>
    </row>
    <row r="85" spans="2:23" ht="25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571"/>
      <c r="O85" s="160"/>
    </row>
    <row r="86" spans="2:23" s="180" customFormat="1" ht="25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576"/>
      <c r="O86" s="205"/>
      <c r="T86" s="188"/>
      <c r="V86" s="188"/>
    </row>
    <row r="87" spans="2:23" ht="25" customHeight="1">
      <c r="B87" s="416" t="s">
        <v>63</v>
      </c>
      <c r="C87" s="22"/>
      <c r="D87" s="22"/>
      <c r="E87" s="22"/>
      <c r="F87" s="253"/>
      <c r="G87" s="253"/>
      <c r="H87" s="189"/>
      <c r="I87" s="189"/>
      <c r="J87" s="189"/>
      <c r="K87" s="189"/>
      <c r="L87" s="252"/>
      <c r="M87" s="576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25" customHeight="1">
      <c r="B88" s="444" t="s">
        <v>9</v>
      </c>
      <c r="C88" s="24" t="s">
        <v>64</v>
      </c>
      <c r="D88" s="24"/>
      <c r="E88" s="132" t="s">
        <v>13</v>
      </c>
      <c r="F88" s="1013" t="s">
        <v>65</v>
      </c>
      <c r="G88" s="1013"/>
      <c r="H88" s="265"/>
      <c r="I88" s="266" t="s">
        <v>66</v>
      </c>
      <c r="J88" s="265"/>
      <c r="K88" s="577"/>
      <c r="L88" s="199"/>
      <c r="O88" s="267"/>
      <c r="P88" s="199"/>
      <c r="T88" s="269"/>
      <c r="U88" s="269"/>
      <c r="V88" s="270"/>
    </row>
    <row r="89" spans="2:23" s="180" customFormat="1" ht="25" customHeight="1">
      <c r="B89" s="134" t="s">
        <v>67</v>
      </c>
      <c r="C89" s="39" t="s">
        <v>68</v>
      </c>
      <c r="D89" s="78"/>
      <c r="E89" s="412">
        <f>F89/720</f>
        <v>1.5333333333333334E-4</v>
      </c>
      <c r="F89" s="1026">
        <f>VOLUME_large_EUR</f>
        <v>0.1104</v>
      </c>
      <c r="G89" s="1026"/>
      <c r="H89" s="615"/>
      <c r="I89" s="271"/>
      <c r="J89" s="272" t="s">
        <v>69</v>
      </c>
      <c r="K89" s="578">
        <f>ROUNDUP(I89*F89,2)</f>
        <v>0</v>
      </c>
      <c r="L89" s="189"/>
      <c r="O89" s="205"/>
    </row>
    <row r="90" spans="2:23" s="180" customFormat="1" ht="25" customHeight="1">
      <c r="B90" s="137" t="s">
        <v>70</v>
      </c>
      <c r="C90" s="41" t="s">
        <v>71</v>
      </c>
      <c r="D90" s="79"/>
      <c r="E90" s="413">
        <f>F90/720</f>
        <v>4.6000000000000001E-4</v>
      </c>
      <c r="F90" s="1042">
        <f>VOLUME_fast_EUR</f>
        <v>0.33119999999999999</v>
      </c>
      <c r="G90" s="1042"/>
      <c r="H90" s="616"/>
      <c r="I90" s="275"/>
      <c r="J90" s="276" t="s">
        <v>69</v>
      </c>
      <c r="K90" s="579">
        <f>ROUNDUP(I90*F90,2)</f>
        <v>0</v>
      </c>
      <c r="L90" s="189"/>
      <c r="O90" s="205"/>
      <c r="V90" s="188"/>
    </row>
    <row r="91" spans="2:23" ht="25" customHeight="1">
      <c r="B91" s="447" t="s">
        <v>30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573">
        <f>SUM(K89:K90)</f>
        <v>0</v>
      </c>
      <c r="O91" s="160"/>
    </row>
    <row r="92" spans="2:23" ht="25" customHeight="1">
      <c r="B92" s="452"/>
      <c r="C92" s="76"/>
      <c r="D92" s="76"/>
      <c r="E92" s="76"/>
      <c r="F92" s="263"/>
      <c r="G92" s="263"/>
      <c r="H92" s="281"/>
      <c r="I92" s="281"/>
      <c r="J92" s="281"/>
      <c r="K92" s="282"/>
      <c r="L92" s="283"/>
      <c r="M92" s="580"/>
      <c r="O92" s="160"/>
    </row>
    <row r="93" spans="2:23" ht="2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580"/>
      <c r="O93" s="160"/>
    </row>
    <row r="94" spans="2:23" s="169" customFormat="1" ht="2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580"/>
      <c r="O94" s="168"/>
    </row>
    <row r="95" spans="2:23" s="169" customFormat="1" ht="25" customHeight="1">
      <c r="B95" s="994" t="s">
        <v>72</v>
      </c>
      <c r="C95" s="994"/>
      <c r="D95" s="994"/>
      <c r="E95" s="994"/>
      <c r="F95" s="994"/>
      <c r="G95" s="994"/>
      <c r="H95" s="177"/>
      <c r="J95" s="178"/>
      <c r="K95" s="178"/>
      <c r="M95" s="567"/>
      <c r="O95" s="168"/>
    </row>
    <row r="96" spans="2:23" s="169" customFormat="1" ht="25" customHeight="1">
      <c r="B96" s="994"/>
      <c r="C96" s="994"/>
      <c r="D96" s="994"/>
      <c r="E96" s="994"/>
      <c r="F96" s="994"/>
      <c r="G96" s="994"/>
      <c r="H96" s="177"/>
      <c r="J96" s="178"/>
      <c r="K96" s="178"/>
      <c r="M96" s="567"/>
      <c r="O96" s="168"/>
    </row>
    <row r="97" spans="2:22" s="169" customFormat="1" ht="25" customHeight="1">
      <c r="B97" s="994"/>
      <c r="C97" s="994"/>
      <c r="D97" s="994"/>
      <c r="E97" s="994"/>
      <c r="F97" s="994"/>
      <c r="G97" s="994"/>
      <c r="H97" s="177"/>
      <c r="J97" s="178"/>
      <c r="K97" s="178"/>
      <c r="M97" s="567"/>
      <c r="O97" s="168"/>
    </row>
    <row r="98" spans="2:22" s="169" customFormat="1" ht="25" customHeight="1">
      <c r="B98" s="1043" t="s">
        <v>73</v>
      </c>
      <c r="C98" s="1043"/>
      <c r="D98" s="1043"/>
      <c r="E98" s="1043"/>
      <c r="F98" s="1043"/>
      <c r="H98" s="177"/>
      <c r="J98" s="178"/>
      <c r="K98" s="178"/>
      <c r="M98" s="567"/>
      <c r="N98" s="182"/>
      <c r="O98" s="187"/>
    </row>
    <row r="99" spans="2:22" s="291" customFormat="1" ht="25" customHeight="1">
      <c r="B99" s="1021" t="s">
        <v>74</v>
      </c>
      <c r="C99" s="1021"/>
      <c r="D99" s="1021"/>
      <c r="E99" s="1021"/>
      <c r="F99" s="1021"/>
      <c r="G99" s="285"/>
      <c r="H99" s="286"/>
      <c r="I99" s="285"/>
      <c r="J99" s="287"/>
      <c r="K99" s="288"/>
      <c r="L99" s="285"/>
      <c r="M99" s="581"/>
      <c r="N99" s="285"/>
      <c r="O99" s="290"/>
    </row>
    <row r="100" spans="2:22" s="169" customFormat="1" ht="25" customHeight="1">
      <c r="B100" s="7" t="s">
        <v>7</v>
      </c>
      <c r="C100" s="74"/>
      <c r="D100" s="74"/>
      <c r="E100" s="74"/>
      <c r="F100" s="530"/>
      <c r="G100" s="182"/>
      <c r="H100" s="183"/>
      <c r="I100" s="182"/>
      <c r="J100" s="184"/>
      <c r="K100" s="185"/>
      <c r="L100" s="185"/>
      <c r="M100" s="568"/>
      <c r="N100" s="186"/>
      <c r="O100" s="205"/>
      <c r="Q100" s="180"/>
      <c r="R100" s="180"/>
    </row>
    <row r="101" spans="2:22" s="180" customFormat="1" ht="25" customHeight="1">
      <c r="B101" s="453"/>
      <c r="C101" s="20"/>
      <c r="D101" s="20"/>
      <c r="E101" s="20"/>
      <c r="F101" s="250"/>
      <c r="G101" s="250"/>
      <c r="H101" s="189"/>
      <c r="I101" s="189"/>
      <c r="J101" s="189"/>
      <c r="K101" s="189"/>
      <c r="L101" s="252"/>
      <c r="M101" s="576"/>
      <c r="O101" s="205"/>
      <c r="T101" s="188"/>
      <c r="V101" s="188"/>
    </row>
    <row r="102" spans="2:22" s="169" customFormat="1" ht="25" customHeight="1">
      <c r="B102" s="444" t="s">
        <v>9</v>
      </c>
      <c r="C102" s="10" t="s">
        <v>75</v>
      </c>
      <c r="D102" s="1013" t="s">
        <v>76</v>
      </c>
      <c r="E102" s="1013"/>
      <c r="F102" s="1013"/>
      <c r="G102" s="1013"/>
      <c r="H102" s="266" t="s">
        <v>75</v>
      </c>
      <c r="I102" s="265"/>
      <c r="J102" s="1013"/>
      <c r="K102" s="1013"/>
      <c r="L102" s="537"/>
      <c r="M102" s="623" t="s">
        <v>83</v>
      </c>
      <c r="N102" s="186"/>
      <c r="O102" s="205"/>
      <c r="Q102" s="180"/>
      <c r="R102" s="180"/>
    </row>
    <row r="103" spans="2:22" s="249" customFormat="1" ht="25" customHeight="1">
      <c r="B103" s="466" t="s">
        <v>77</v>
      </c>
      <c r="C103" s="82"/>
      <c r="D103" s="620"/>
      <c r="E103" s="597" cm="1">
        <f t="array" ref="E103">_xlfn.IFS(H103&lt;50,D104,H103&lt;100,D105,H103&lt;500,D106,H103&lt;1000,D107,H103&gt;999,D108)</f>
        <v>32.200000000000003</v>
      </c>
      <c r="F103" s="598"/>
      <c r="G103" s="598"/>
      <c r="H103" s="298">
        <v>0</v>
      </c>
      <c r="I103" s="474" t="s">
        <v>84</v>
      </c>
      <c r="J103" s="300"/>
      <c r="K103" s="300"/>
      <c r="L103" s="300"/>
      <c r="M103" s="582" cm="1">
        <f t="array" ref="M103">_xlfn.IFS(H103&lt;1000,ROUNDUP(H103*E103,2),H103&gt;999,E103)</f>
        <v>0</v>
      </c>
      <c r="N103" s="297"/>
      <c r="O103" s="262"/>
      <c r="Q103" s="246"/>
      <c r="R103" s="246"/>
    </row>
    <row r="104" spans="2:22" s="169" customFormat="1" ht="25" customHeight="1">
      <c r="B104" s="605" t="s">
        <v>77</v>
      </c>
      <c r="C104" s="606" t="s">
        <v>429</v>
      </c>
      <c r="D104" s="1024">
        <f>S3_storage.50_EUR</f>
        <v>32.200000000000003</v>
      </c>
      <c r="E104" s="1024"/>
      <c r="F104" s="1025"/>
      <c r="G104" s="1025"/>
      <c r="H104" s="1025"/>
      <c r="I104" s="1025"/>
      <c r="J104" s="1025"/>
      <c r="K104" s="1025"/>
      <c r="L104" s="607"/>
      <c r="M104" s="624"/>
      <c r="N104" s="186"/>
      <c r="O104" s="205"/>
      <c r="Q104" s="180"/>
      <c r="R104" s="180"/>
    </row>
    <row r="105" spans="2:22" s="169" customFormat="1" ht="25" customHeight="1">
      <c r="B105" s="617" t="s">
        <v>77</v>
      </c>
      <c r="C105" s="618" t="s">
        <v>430</v>
      </c>
      <c r="D105" s="1012">
        <f>S3_storage.100_EUR</f>
        <v>24.84</v>
      </c>
      <c r="E105" s="1012"/>
      <c r="F105" s="1017"/>
      <c r="G105" s="1017"/>
      <c r="H105" s="1017"/>
      <c r="I105" s="1017"/>
      <c r="J105" s="1017"/>
      <c r="K105" s="1017"/>
      <c r="L105" s="619"/>
      <c r="M105" s="625"/>
      <c r="N105" s="186"/>
      <c r="O105" s="205"/>
      <c r="Q105" s="180"/>
      <c r="R105" s="180"/>
    </row>
    <row r="106" spans="2:22" s="169" customFormat="1" ht="25" customHeight="1">
      <c r="B106" s="605" t="s">
        <v>77</v>
      </c>
      <c r="C106" s="606" t="s">
        <v>431</v>
      </c>
      <c r="D106" s="1016">
        <f>S3_storage.500_EUR</f>
        <v>18.399999999999999</v>
      </c>
      <c r="E106" s="1016"/>
      <c r="F106" s="1011"/>
      <c r="G106" s="1011"/>
      <c r="H106" s="1011"/>
      <c r="I106" s="1011"/>
      <c r="J106" s="1011"/>
      <c r="K106" s="1011"/>
      <c r="L106" s="608"/>
      <c r="M106" s="626"/>
      <c r="N106" s="186"/>
      <c r="O106" s="205"/>
      <c r="Q106" s="180"/>
      <c r="R106" s="180"/>
    </row>
    <row r="107" spans="2:22" s="169" customFormat="1" ht="25" customHeight="1">
      <c r="B107" s="617" t="s">
        <v>77</v>
      </c>
      <c r="C107" s="618" t="s">
        <v>432</v>
      </c>
      <c r="D107" s="1012">
        <f>S3_storage.1000_EUR</f>
        <v>17.02</v>
      </c>
      <c r="E107" s="1012"/>
      <c r="F107" s="1017"/>
      <c r="G107" s="1017"/>
      <c r="H107" s="1017"/>
      <c r="I107" s="1017"/>
      <c r="J107" s="1017"/>
      <c r="K107" s="1017"/>
      <c r="L107" s="619"/>
      <c r="M107" s="625"/>
      <c r="N107" s="186"/>
      <c r="O107" s="205"/>
      <c r="Q107" s="180"/>
      <c r="R107" s="180"/>
    </row>
    <row r="108" spans="2:22" s="169" customFormat="1" ht="25" customHeight="1">
      <c r="B108" s="609" t="s">
        <v>77</v>
      </c>
      <c r="C108" s="610" t="s">
        <v>433</v>
      </c>
      <c r="D108" s="1018" t="str">
        <f>S3_storage.quote_EUR</f>
        <v>Request a quote</v>
      </c>
      <c r="E108" s="1018"/>
      <c r="F108" s="1019"/>
      <c r="G108" s="1019"/>
      <c r="H108" s="1019"/>
      <c r="I108" s="1019"/>
      <c r="J108" s="1019"/>
      <c r="K108" s="1019"/>
      <c r="L108" s="611"/>
      <c r="M108" s="627"/>
      <c r="N108" s="186"/>
      <c r="O108" s="205"/>
      <c r="Q108" s="180"/>
      <c r="R108" s="180"/>
    </row>
    <row r="109" spans="2:22" ht="25" customHeight="1">
      <c r="B109" s="18" t="s">
        <v>401</v>
      </c>
      <c r="C109" s="19"/>
      <c r="D109" s="621"/>
      <c r="E109" s="621"/>
      <c r="F109" s="216"/>
      <c r="G109" s="216"/>
      <c r="H109" s="217"/>
      <c r="I109" s="217"/>
      <c r="J109" s="217"/>
      <c r="K109" s="302"/>
      <c r="L109" s="302"/>
      <c r="M109" s="573">
        <f>M103</f>
        <v>0</v>
      </c>
      <c r="N109" s="297"/>
      <c r="O109" s="205"/>
      <c r="Q109" s="180"/>
      <c r="R109" s="180"/>
    </row>
    <row r="110" spans="2:22" ht="25" customHeight="1">
      <c r="B110" s="449"/>
      <c r="C110" s="17"/>
      <c r="D110" s="622"/>
      <c r="E110" s="622"/>
      <c r="F110" s="234"/>
      <c r="G110" s="235"/>
      <c r="H110" s="236"/>
      <c r="I110" s="236"/>
      <c r="J110" s="234"/>
      <c r="K110" s="237"/>
      <c r="M110" s="628"/>
      <c r="O110" s="160"/>
      <c r="R110" s="188"/>
      <c r="S110" s="188"/>
      <c r="T110" s="214"/>
    </row>
    <row r="111" spans="2:22" s="169" customFormat="1" ht="25" customHeight="1">
      <c r="B111" s="444" t="s">
        <v>9</v>
      </c>
      <c r="C111" s="10" t="s">
        <v>75</v>
      </c>
      <c r="D111" s="1023" t="s">
        <v>76</v>
      </c>
      <c r="E111" s="1023"/>
      <c r="F111" s="1013"/>
      <c r="G111" s="1013"/>
      <c r="H111" s="266" t="s">
        <v>75</v>
      </c>
      <c r="I111" s="266"/>
      <c r="J111" s="1013"/>
      <c r="K111" s="1013"/>
      <c r="L111" s="537"/>
      <c r="M111" s="623"/>
      <c r="N111" s="186"/>
      <c r="O111" s="205"/>
      <c r="Q111" s="180"/>
      <c r="R111" s="180"/>
    </row>
    <row r="112" spans="2:22" s="249" customFormat="1" ht="25" customHeight="1">
      <c r="B112" s="466" t="s">
        <v>423</v>
      </c>
      <c r="C112" s="82"/>
      <c r="D112" s="620"/>
      <c r="E112" s="597" cm="1">
        <f t="array" ref="E112">_xlfn.IFS(H112&lt;50,D113,H112&lt;100,D114,H112&lt;500,D115,H112&lt;1000,D116,H112&gt;999,D117)</f>
        <v>32.200000000000003</v>
      </c>
      <c r="F112" s="598"/>
      <c r="G112" s="598"/>
      <c r="H112" s="298">
        <v>0</v>
      </c>
      <c r="I112" s="474" t="s">
        <v>84</v>
      </c>
      <c r="J112" s="300"/>
      <c r="K112" s="300"/>
      <c r="L112" s="300"/>
      <c r="M112" s="582" cm="1">
        <f t="array" ref="M112">_xlfn.IFS(H112&lt;1000,ROUNDUP(H112*E112,2),H112&gt;999,E112)</f>
        <v>0</v>
      </c>
      <c r="N112" s="297"/>
      <c r="O112" s="262"/>
      <c r="Q112" s="246"/>
      <c r="R112" s="246"/>
    </row>
    <row r="113" spans="2:28" s="169" customFormat="1" ht="25" customHeight="1">
      <c r="B113" s="605" t="s">
        <v>423</v>
      </c>
      <c r="C113" s="606" t="s">
        <v>429</v>
      </c>
      <c r="D113" s="1024">
        <f>S3_archive.50_EUR</f>
        <v>32.200000000000003</v>
      </c>
      <c r="E113" s="1024"/>
      <c r="F113" s="1025"/>
      <c r="G113" s="1025"/>
      <c r="H113" s="1025"/>
      <c r="I113" s="1025"/>
      <c r="J113" s="1025"/>
      <c r="K113" s="1025"/>
      <c r="L113" s="607"/>
      <c r="M113" s="624"/>
      <c r="N113" s="186"/>
      <c r="O113" s="205"/>
      <c r="Q113" s="180"/>
      <c r="R113" s="180"/>
    </row>
    <row r="114" spans="2:28" s="169" customFormat="1" ht="25" customHeight="1">
      <c r="B114" s="617" t="s">
        <v>423</v>
      </c>
      <c r="C114" s="618" t="s">
        <v>430</v>
      </c>
      <c r="D114" s="1012">
        <f>S3_archive.100_EUR</f>
        <v>24.84</v>
      </c>
      <c r="E114" s="1012"/>
      <c r="F114" s="1017"/>
      <c r="G114" s="1017"/>
      <c r="H114" s="1017"/>
      <c r="I114" s="1017"/>
      <c r="J114" s="1017"/>
      <c r="K114" s="1017"/>
      <c r="L114" s="619"/>
      <c r="M114" s="625"/>
      <c r="N114" s="186"/>
      <c r="O114" s="205"/>
      <c r="Q114" s="180"/>
      <c r="R114" s="180"/>
    </row>
    <row r="115" spans="2:28" s="169" customFormat="1" ht="25" customHeight="1">
      <c r="B115" s="605" t="s">
        <v>423</v>
      </c>
      <c r="C115" s="606" t="s">
        <v>431</v>
      </c>
      <c r="D115" s="1016">
        <f>S3_archive.500_EUR</f>
        <v>18.399999999999999</v>
      </c>
      <c r="E115" s="1016"/>
      <c r="F115" s="1011"/>
      <c r="G115" s="1011"/>
      <c r="H115" s="1011"/>
      <c r="I115" s="1011"/>
      <c r="J115" s="1011"/>
      <c r="K115" s="1011"/>
      <c r="L115" s="608"/>
      <c r="M115" s="626"/>
      <c r="N115" s="186"/>
      <c r="O115" s="205"/>
      <c r="Q115" s="180"/>
      <c r="R115" s="180"/>
    </row>
    <row r="116" spans="2:28" s="169" customFormat="1" ht="25" customHeight="1">
      <c r="B116" s="617" t="s">
        <v>423</v>
      </c>
      <c r="C116" s="618" t="s">
        <v>432</v>
      </c>
      <c r="D116" s="1012">
        <f>S3_archive.1000_EUR</f>
        <v>17.02</v>
      </c>
      <c r="E116" s="1012"/>
      <c r="F116" s="1017"/>
      <c r="G116" s="1017"/>
      <c r="H116" s="1017"/>
      <c r="I116" s="1017"/>
      <c r="J116" s="1017"/>
      <c r="K116" s="1017"/>
      <c r="L116" s="619"/>
      <c r="M116" s="625"/>
      <c r="N116" s="186"/>
      <c r="O116" s="205"/>
      <c r="Q116" s="180"/>
      <c r="R116" s="180"/>
    </row>
    <row r="117" spans="2:28" s="169" customFormat="1" ht="25" customHeight="1">
      <c r="B117" s="609" t="s">
        <v>423</v>
      </c>
      <c r="C117" s="610" t="s">
        <v>433</v>
      </c>
      <c r="D117" s="1018" t="str">
        <f>S3_archive.quote_EUR</f>
        <v>Request a quote</v>
      </c>
      <c r="E117" s="1018"/>
      <c r="F117" s="1019"/>
      <c r="G117" s="1019"/>
      <c r="H117" s="1019"/>
      <c r="I117" s="1019"/>
      <c r="J117" s="1019"/>
      <c r="K117" s="1019"/>
      <c r="L117" s="611"/>
      <c r="M117" s="627"/>
      <c r="N117" s="186"/>
      <c r="O117" s="205"/>
      <c r="Q117" s="180"/>
      <c r="R117" s="180"/>
    </row>
    <row r="118" spans="2:28" s="169" customFormat="1" ht="25" customHeight="1">
      <c r="B118" s="18" t="s">
        <v>401</v>
      </c>
      <c r="C118" s="19"/>
      <c r="D118" s="19"/>
      <c r="E118" s="19"/>
      <c r="F118" s="216"/>
      <c r="G118" s="216"/>
      <c r="H118" s="217"/>
      <c r="I118" s="217"/>
      <c r="J118" s="217"/>
      <c r="K118" s="302"/>
      <c r="L118" s="302"/>
      <c r="M118" s="629">
        <f>M112</f>
        <v>0</v>
      </c>
      <c r="N118" s="186"/>
      <c r="O118" s="205"/>
      <c r="Q118" s="180"/>
      <c r="R118" s="180"/>
    </row>
    <row r="119" spans="2:28" s="242" customFormat="1" ht="25" customHeight="1">
      <c r="B119" s="465"/>
      <c r="C119" s="133"/>
      <c r="D119" s="133"/>
      <c r="E119" s="133"/>
      <c r="F119" s="530"/>
      <c r="G119" s="182"/>
      <c r="H119" s="183"/>
      <c r="I119" s="182"/>
      <c r="J119" s="184"/>
      <c r="K119" s="185"/>
      <c r="L119" s="185"/>
      <c r="M119" s="568"/>
      <c r="N119" s="186"/>
      <c r="O119" s="296"/>
      <c r="Q119" s="268"/>
      <c r="R119" s="268"/>
      <c r="S119" s="268"/>
      <c r="T119" s="268"/>
      <c r="U119" s="268"/>
      <c r="V119" s="268"/>
      <c r="W119" s="268"/>
    </row>
    <row r="120" spans="2:28" ht="25" customHeight="1">
      <c r="B120" s="26"/>
      <c r="C120" s="26"/>
      <c r="D120" s="26"/>
      <c r="E120" s="26"/>
      <c r="F120" s="304"/>
      <c r="G120" s="305"/>
      <c r="H120" s="281"/>
      <c r="I120" s="281"/>
      <c r="J120" s="281"/>
      <c r="K120" s="306"/>
      <c r="L120" s="306"/>
      <c r="M120" s="580"/>
      <c r="N120" s="284"/>
      <c r="O120" s="205"/>
      <c r="Q120" s="180"/>
      <c r="R120" s="180"/>
      <c r="U120" s="169"/>
    </row>
    <row r="121" spans="2:28" s="169" customFormat="1" ht="25" customHeight="1">
      <c r="B121" s="26"/>
      <c r="C121" s="26"/>
      <c r="D121" s="26"/>
      <c r="E121" s="26"/>
      <c r="F121" s="304"/>
      <c r="G121" s="305"/>
      <c r="H121" s="281"/>
      <c r="I121" s="281"/>
      <c r="J121" s="281"/>
      <c r="K121" s="306"/>
      <c r="L121" s="306"/>
      <c r="M121" s="580"/>
      <c r="N121" s="284"/>
      <c r="O121" s="168"/>
    </row>
    <row r="122" spans="2:28" s="169" customFormat="1" ht="25" customHeight="1">
      <c r="B122" s="994" t="s">
        <v>86</v>
      </c>
      <c r="C122" s="994"/>
      <c r="D122" s="994"/>
      <c r="E122" s="994"/>
      <c r="F122" s="994"/>
      <c r="G122" s="994"/>
      <c r="H122" s="177"/>
      <c r="J122" s="178"/>
      <c r="K122" s="178"/>
      <c r="L122" s="178"/>
      <c r="M122" s="567"/>
      <c r="N122" s="179"/>
      <c r="O122" s="168"/>
    </row>
    <row r="123" spans="2:28" s="169" customFormat="1" ht="25" customHeight="1">
      <c r="B123" s="994"/>
      <c r="C123" s="994"/>
      <c r="D123" s="994"/>
      <c r="E123" s="994"/>
      <c r="F123" s="994"/>
      <c r="G123" s="994"/>
      <c r="H123" s="177"/>
      <c r="J123" s="178"/>
      <c r="K123" s="178"/>
      <c r="L123" s="178"/>
      <c r="M123" s="567"/>
      <c r="N123" s="179"/>
      <c r="O123" s="168"/>
    </row>
    <row r="124" spans="2:28" s="169" customFormat="1" ht="25" customHeight="1">
      <c r="B124" s="994"/>
      <c r="C124" s="994"/>
      <c r="D124" s="994"/>
      <c r="E124" s="994"/>
      <c r="F124" s="994"/>
      <c r="G124" s="994"/>
      <c r="H124" s="177"/>
      <c r="J124" s="178"/>
      <c r="K124" s="178"/>
      <c r="L124" s="178"/>
      <c r="M124" s="567"/>
      <c r="N124" s="179"/>
      <c r="O124" s="168"/>
    </row>
    <row r="125" spans="2:28" s="169" customFormat="1" ht="25" customHeight="1">
      <c r="B125" s="1015" t="s">
        <v>87</v>
      </c>
      <c r="C125" s="1015"/>
      <c r="D125" s="1015"/>
      <c r="E125" s="1015"/>
      <c r="F125" s="1015"/>
      <c r="H125" s="177"/>
      <c r="J125" s="178"/>
      <c r="K125" s="178"/>
      <c r="L125" s="178"/>
      <c r="M125" s="567"/>
      <c r="N125" s="179"/>
      <c r="O125" s="187"/>
    </row>
    <row r="126" spans="2:28" s="169" customFormat="1" ht="25" customHeight="1">
      <c r="B126" s="995" t="s">
        <v>6</v>
      </c>
      <c r="C126" s="995"/>
      <c r="D126" s="995"/>
      <c r="E126" s="995"/>
      <c r="F126" s="995"/>
      <c r="G126" s="182"/>
      <c r="H126" s="183"/>
      <c r="I126" s="182"/>
      <c r="J126" s="184"/>
      <c r="K126" s="185"/>
      <c r="L126" s="185"/>
      <c r="M126" s="568"/>
      <c r="N126" s="186"/>
      <c r="O126" s="187"/>
    </row>
    <row r="127" spans="2:28" s="189" customFormat="1" ht="25" customHeight="1">
      <c r="B127" s="7" t="s">
        <v>7</v>
      </c>
      <c r="C127" s="74"/>
      <c r="D127" s="74"/>
      <c r="E127" s="74"/>
      <c r="F127" s="530"/>
      <c r="G127" s="182"/>
      <c r="H127" s="183"/>
      <c r="I127" s="182"/>
      <c r="J127" s="184"/>
      <c r="K127" s="185"/>
      <c r="L127" s="185"/>
      <c r="M127" s="568"/>
      <c r="N127" s="186"/>
      <c r="O127" s="205"/>
      <c r="Q127" s="180"/>
      <c r="R127" s="180"/>
      <c r="S127" s="180"/>
      <c r="T127" s="180"/>
      <c r="U127" s="180"/>
      <c r="V127" s="180"/>
      <c r="W127" s="180"/>
      <c r="Z127" s="161"/>
      <c r="AA127" s="161"/>
      <c r="AB127" s="161"/>
    </row>
    <row r="128" spans="2:28" s="242" customFormat="1" ht="25" customHeight="1">
      <c r="B128" s="27"/>
      <c r="C128" s="8"/>
      <c r="D128" s="8"/>
      <c r="E128" s="8"/>
      <c r="F128" s="189"/>
      <c r="G128" s="189"/>
      <c r="H128" s="189"/>
      <c r="I128" s="189"/>
      <c r="J128" s="189"/>
      <c r="K128" s="189"/>
      <c r="L128" s="189"/>
      <c r="M128" s="576"/>
      <c r="N128" s="252"/>
      <c r="O128" s="296"/>
      <c r="R128" s="268"/>
      <c r="S128" s="268"/>
      <c r="T128" s="268"/>
      <c r="U128" s="268"/>
      <c r="V128" s="268"/>
      <c r="W128" s="268"/>
    </row>
    <row r="129" spans="2:34" ht="25" customHeight="1">
      <c r="B129" s="444" t="s">
        <v>9</v>
      </c>
      <c r="D129" s="265" t="s">
        <v>88</v>
      </c>
      <c r="E129" s="131"/>
      <c r="F129" s="1013" t="s">
        <v>89</v>
      </c>
      <c r="G129" s="1013"/>
      <c r="H129" s="266" t="s">
        <v>90</v>
      </c>
      <c r="I129" s="265"/>
      <c r="J129" s="1027" t="s">
        <v>91</v>
      </c>
      <c r="K129" s="1027"/>
      <c r="L129" s="535"/>
      <c r="M129" s="577" t="s">
        <v>92</v>
      </c>
      <c r="N129" s="252"/>
      <c r="O129" s="160"/>
    </row>
    <row r="130" spans="2:34" ht="25" customHeight="1">
      <c r="B130" s="1028" t="s">
        <v>93</v>
      </c>
      <c r="C130" s="1028"/>
      <c r="D130" s="467" t="s">
        <v>94</v>
      </c>
      <c r="E130" s="29"/>
      <c r="F130" s="1029">
        <f>BAAS_on.demand_EUR</f>
        <v>0.22540000000000002</v>
      </c>
      <c r="G130" s="1030"/>
      <c r="H130" s="307">
        <v>0</v>
      </c>
      <c r="I130" s="272" t="s">
        <v>69</v>
      </c>
      <c r="J130" s="1031" t="s">
        <v>94</v>
      </c>
      <c r="K130" s="1031"/>
      <c r="L130" s="308"/>
      <c r="M130" s="578">
        <f>ROUNDUP(H130*F130,2)</f>
        <v>0</v>
      </c>
      <c r="N130" s="252"/>
      <c r="O130" s="160"/>
    </row>
    <row r="131" spans="2:34" ht="25" customHeight="1">
      <c r="B131" s="1032" t="s">
        <v>95</v>
      </c>
      <c r="C131" s="1032"/>
      <c r="D131" s="468">
        <f>BAAS_small.fee_EUR</f>
        <v>506</v>
      </c>
      <c r="E131" s="32"/>
      <c r="F131" s="1033">
        <f>BAAS_small_EUR</f>
        <v>0.161</v>
      </c>
      <c r="G131" s="1034"/>
      <c r="H131" s="309">
        <v>0</v>
      </c>
      <c r="I131" s="276" t="s">
        <v>69</v>
      </c>
      <c r="J131" s="1035">
        <v>0.75</v>
      </c>
      <c r="K131" s="1036"/>
      <c r="L131" s="276"/>
      <c r="M131" s="579">
        <f>IF(H131&gt;0,IF(SUM($D$131+($F$131*((H131*(1-$J$131))-1000)))&lt;=D131,$D$131,$D$131+($F$131*((H131*(1-$J$131))-1000))),0)</f>
        <v>0</v>
      </c>
      <c r="N131" s="252"/>
      <c r="O131" s="160"/>
    </row>
    <row r="132" spans="2:34" s="310" customFormat="1" ht="25" customHeight="1">
      <c r="B132" s="1037" t="s">
        <v>96</v>
      </c>
      <c r="C132" s="1037"/>
      <c r="D132" s="469">
        <f>BAAS_large.fee_EUR</f>
        <v>874</v>
      </c>
      <c r="E132" s="35"/>
      <c r="F132" s="1038">
        <f>BAAS_large_EUR</f>
        <v>8.4640000000000007E-2</v>
      </c>
      <c r="G132" s="1039"/>
      <c r="H132" s="298">
        <v>0</v>
      </c>
      <c r="I132" s="299" t="s">
        <v>69</v>
      </c>
      <c r="J132" s="1040">
        <v>0.75</v>
      </c>
      <c r="K132" s="1041"/>
      <c r="L132" s="299"/>
      <c r="M132" s="583">
        <f>IF(H132&gt;0,$D$132+($F$132*(H132*(1-$J$132))),0)</f>
        <v>0</v>
      </c>
      <c r="N132" s="252"/>
      <c r="O132" s="312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</row>
    <row r="133" spans="2:34" s="310" customFormat="1" ht="25" customHeight="1">
      <c r="B133" s="18" t="s">
        <v>401</v>
      </c>
      <c r="C133" s="19"/>
      <c r="D133" s="19"/>
      <c r="E133" s="19"/>
      <c r="F133" s="216"/>
      <c r="G133" s="217"/>
      <c r="H133" s="279" t="str">
        <f>SUM(H130:H132)&amp;" GB"</f>
        <v>0 GB</v>
      </c>
      <c r="I133" s="217"/>
      <c r="J133" s="217"/>
      <c r="K133" s="302"/>
      <c r="L133" s="302"/>
      <c r="M133" s="573">
        <f>SUM(M130:M132)</f>
        <v>0</v>
      </c>
      <c r="N133" s="252"/>
      <c r="O133" s="312"/>
      <c r="Q133" s="313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</row>
    <row r="134" spans="2:34" s="310" customFormat="1" ht="25" customHeight="1">
      <c r="B134" s="18"/>
      <c r="C134" s="19"/>
      <c r="D134" s="19"/>
      <c r="E134" s="19"/>
      <c r="F134" s="216"/>
      <c r="G134" s="217"/>
      <c r="H134" s="217"/>
      <c r="I134" s="217"/>
      <c r="J134" s="217"/>
      <c r="K134" s="302"/>
      <c r="L134" s="302"/>
      <c r="M134" s="571"/>
      <c r="N134" s="252"/>
      <c r="O134" s="312"/>
      <c r="Q134" s="313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</row>
    <row r="135" spans="2:34" s="310" customFormat="1" ht="25" customHeight="1">
      <c r="B135" s="1014" t="s">
        <v>97</v>
      </c>
      <c r="C135" s="1014"/>
      <c r="D135" s="1014"/>
      <c r="E135" s="1014"/>
      <c r="F135" s="1014"/>
      <c r="G135" s="1014"/>
      <c r="H135" s="1014"/>
      <c r="I135" s="1014"/>
      <c r="J135" s="217"/>
      <c r="K135" s="302"/>
      <c r="L135" s="302"/>
      <c r="M135" s="571"/>
      <c r="N135" s="48"/>
      <c r="O135" s="312"/>
      <c r="Q135" s="313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</row>
    <row r="136" spans="2:34" ht="25" customHeight="1">
      <c r="B136" s="1014" t="s">
        <v>98</v>
      </c>
      <c r="C136" s="1014"/>
      <c r="D136" s="1014"/>
      <c r="E136" s="1014"/>
      <c r="F136" s="1014"/>
      <c r="G136" s="1014"/>
      <c r="H136" s="1014"/>
      <c r="I136" s="1014"/>
      <c r="J136" s="217"/>
      <c r="K136" s="302"/>
      <c r="L136" s="302"/>
      <c r="M136" s="571"/>
      <c r="N136" s="48"/>
      <c r="O136" s="205"/>
      <c r="Q136" s="180"/>
      <c r="R136" s="180"/>
    </row>
    <row r="137" spans="2:34" ht="25" customHeight="1">
      <c r="B137" s="1014" t="s">
        <v>99</v>
      </c>
      <c r="C137" s="1014"/>
      <c r="D137" s="1014"/>
      <c r="E137" s="1014"/>
      <c r="F137" s="1014"/>
      <c r="G137" s="1014"/>
      <c r="H137" s="1014"/>
      <c r="I137" s="1014"/>
      <c r="J137" s="281"/>
      <c r="K137" s="306"/>
      <c r="L137" s="306"/>
      <c r="M137" s="580"/>
      <c r="N137" s="284"/>
      <c r="O137" s="205"/>
      <c r="Q137" s="180"/>
      <c r="R137" s="180"/>
    </row>
    <row r="138" spans="2:34" ht="25" customHeight="1">
      <c r="B138" s="1014" t="s">
        <v>418</v>
      </c>
      <c r="C138" s="1014"/>
      <c r="D138" s="1014"/>
      <c r="E138" s="1014"/>
      <c r="F138" s="1014"/>
      <c r="G138" s="1014"/>
      <c r="H138" s="1014"/>
      <c r="I138" s="1014"/>
      <c r="J138" s="281"/>
      <c r="K138" s="306"/>
      <c r="L138" s="284"/>
      <c r="M138" s="580"/>
      <c r="N138" s="189"/>
      <c r="O138" s="205"/>
      <c r="P138" s="180"/>
      <c r="Q138" s="180"/>
    </row>
    <row r="139" spans="2:34" ht="25" customHeight="1">
      <c r="B139" s="28"/>
      <c r="C139" s="26"/>
      <c r="D139" s="26"/>
      <c r="E139" s="26"/>
      <c r="F139" s="304"/>
      <c r="G139" s="305"/>
      <c r="H139" s="281"/>
      <c r="I139" s="281"/>
      <c r="J139" s="281"/>
      <c r="K139" s="306"/>
      <c r="L139" s="284"/>
      <c r="M139" s="580"/>
      <c r="N139" s="189"/>
      <c r="O139" s="205"/>
      <c r="P139" s="180"/>
      <c r="Q139" s="180"/>
    </row>
    <row r="140" spans="2:34" ht="25" customHeight="1">
      <c r="B140" s="28"/>
      <c r="C140" s="26"/>
      <c r="D140" s="26"/>
      <c r="E140" s="26"/>
      <c r="F140" s="304"/>
      <c r="G140" s="305"/>
      <c r="H140" s="281"/>
      <c r="I140" s="281"/>
      <c r="J140" s="281"/>
      <c r="K140" s="306"/>
      <c r="L140" s="284"/>
      <c r="M140" s="580"/>
      <c r="N140" s="189"/>
      <c r="O140" s="205"/>
      <c r="P140" s="180"/>
      <c r="Q140" s="180"/>
    </row>
    <row r="141" spans="2:34" ht="25" customHeight="1">
      <c r="B141" s="28"/>
      <c r="C141" s="26"/>
      <c r="D141" s="26"/>
      <c r="E141" s="26"/>
      <c r="F141" s="304"/>
      <c r="G141" s="305"/>
      <c r="H141" s="281"/>
      <c r="I141" s="281"/>
      <c r="J141" s="281"/>
      <c r="K141" s="306"/>
      <c r="L141" s="284"/>
      <c r="M141" s="580"/>
      <c r="N141" s="189"/>
      <c r="O141" s="205"/>
      <c r="P141" s="180"/>
      <c r="Q141" s="180"/>
    </row>
    <row r="142" spans="2:34" ht="25" customHeight="1">
      <c r="B142" s="28"/>
      <c r="C142" s="26"/>
      <c r="D142" s="26"/>
      <c r="E142" s="26"/>
      <c r="F142" s="304"/>
      <c r="G142" s="305"/>
      <c r="H142" s="281"/>
      <c r="I142" s="281"/>
      <c r="J142" s="281"/>
      <c r="K142" s="306"/>
      <c r="L142" s="284"/>
      <c r="M142" s="580"/>
      <c r="N142" s="189"/>
      <c r="O142" s="205"/>
      <c r="P142" s="180"/>
      <c r="Q142" s="180"/>
    </row>
    <row r="143" spans="2:34" s="169" customFormat="1" ht="25" customHeight="1">
      <c r="B143" s="994" t="s">
        <v>100</v>
      </c>
      <c r="C143" s="994"/>
      <c r="D143" s="994"/>
      <c r="E143" s="994"/>
      <c r="F143" s="994"/>
      <c r="G143" s="994"/>
      <c r="H143" s="177"/>
      <c r="J143" s="178"/>
      <c r="K143" s="178"/>
      <c r="M143" s="580"/>
      <c r="N143" s="189"/>
      <c r="O143" s="205"/>
    </row>
    <row r="144" spans="2:34" s="169" customFormat="1" ht="25" customHeight="1">
      <c r="B144" s="994"/>
      <c r="C144" s="994"/>
      <c r="D144" s="994"/>
      <c r="E144" s="994"/>
      <c r="F144" s="994"/>
      <c r="G144" s="994"/>
      <c r="H144" s="177"/>
      <c r="J144" s="178"/>
      <c r="K144" s="178"/>
      <c r="M144" s="580"/>
      <c r="N144" s="189"/>
      <c r="O144" s="205"/>
    </row>
    <row r="145" spans="2:26" s="169" customFormat="1" ht="25" customHeight="1">
      <c r="B145" s="994"/>
      <c r="C145" s="994"/>
      <c r="D145" s="994"/>
      <c r="E145" s="994"/>
      <c r="F145" s="994"/>
      <c r="G145" s="994"/>
      <c r="H145" s="177"/>
      <c r="J145" s="178"/>
      <c r="K145" s="178"/>
      <c r="M145" s="580"/>
      <c r="N145" s="189"/>
      <c r="O145" s="205"/>
    </row>
    <row r="146" spans="2:26" s="169" customFormat="1" ht="25" customHeight="1">
      <c r="B146" s="995" t="s">
        <v>6</v>
      </c>
      <c r="C146" s="995"/>
      <c r="D146" s="995"/>
      <c r="E146" s="995"/>
      <c r="F146" s="995"/>
      <c r="H146" s="177"/>
      <c r="J146" s="178"/>
      <c r="K146" s="178"/>
      <c r="M146" s="580"/>
      <c r="N146" s="189"/>
      <c r="O146" s="205"/>
    </row>
    <row r="147" spans="2:26" s="169" customFormat="1" ht="25" customHeight="1">
      <c r="B147" s="996"/>
      <c r="C147" s="996"/>
      <c r="D147" s="996"/>
      <c r="E147" s="996"/>
      <c r="F147" s="996"/>
      <c r="G147" s="182"/>
      <c r="H147" s="183"/>
      <c r="I147" s="182"/>
      <c r="J147" s="184"/>
      <c r="K147" s="185"/>
      <c r="L147" s="182"/>
      <c r="M147" s="580"/>
      <c r="N147" s="189"/>
      <c r="O147" s="205"/>
    </row>
    <row r="148" spans="2:26" s="169" customFormat="1" ht="25" customHeight="1">
      <c r="B148" s="133"/>
      <c r="C148" s="133"/>
      <c r="D148" s="133"/>
      <c r="E148" s="133"/>
      <c r="F148" s="530"/>
      <c r="G148" s="182"/>
      <c r="H148" s="182"/>
      <c r="I148" s="182"/>
      <c r="J148" s="182"/>
      <c r="K148" s="182"/>
      <c r="L148" s="182"/>
      <c r="M148" s="568"/>
      <c r="N148" s="184"/>
      <c r="O148" s="205"/>
      <c r="P148" s="182"/>
      <c r="Q148" s="186"/>
      <c r="R148" s="284"/>
      <c r="S148" s="189"/>
    </row>
    <row r="149" spans="2:26" s="189" customFormat="1" ht="25" customHeight="1">
      <c r="B149" s="416" t="s">
        <v>101</v>
      </c>
      <c r="C149" s="133"/>
      <c r="D149" s="133"/>
      <c r="E149" s="133"/>
      <c r="F149" s="530"/>
      <c r="G149" s="182"/>
      <c r="H149" s="182"/>
      <c r="I149" s="182"/>
      <c r="J149" s="182"/>
      <c r="K149" s="182"/>
      <c r="L149" s="182"/>
      <c r="M149" s="568"/>
      <c r="N149" s="184"/>
      <c r="O149" s="205"/>
      <c r="P149" s="182"/>
      <c r="Q149" s="186"/>
      <c r="R149" s="284"/>
      <c r="U149" s="180"/>
      <c r="V149" s="180"/>
      <c r="W149" s="180"/>
      <c r="X149" s="180"/>
      <c r="Y149" s="180"/>
      <c r="Z149" s="180"/>
    </row>
    <row r="150" spans="2:26" ht="25" customHeight="1">
      <c r="B150" s="470" t="s">
        <v>9</v>
      </c>
      <c r="C150" s="23" t="s">
        <v>102</v>
      </c>
      <c r="D150" s="23"/>
      <c r="E150" s="24" t="s">
        <v>64</v>
      </c>
      <c r="F150" s="265"/>
      <c r="G150" s="537"/>
      <c r="H150" s="537"/>
      <c r="I150" s="537"/>
      <c r="J150" s="537"/>
      <c r="K150" s="314" t="s">
        <v>103</v>
      </c>
      <c r="L150" s="992" t="s">
        <v>14</v>
      </c>
      <c r="M150" s="992"/>
      <c r="N150" s="198"/>
      <c r="O150" s="205"/>
      <c r="P150" s="315"/>
      <c r="Q150" s="198"/>
      <c r="R150" s="284"/>
      <c r="S150" s="189"/>
    </row>
    <row r="151" spans="2:26" ht="25" customHeight="1">
      <c r="B151" s="134" t="s">
        <v>104</v>
      </c>
      <c r="C151" s="30" t="s">
        <v>105</v>
      </c>
      <c r="D151" s="129"/>
      <c r="E151" s="39" t="s">
        <v>106</v>
      </c>
      <c r="F151" s="316"/>
      <c r="G151" s="317"/>
      <c r="H151" s="317"/>
      <c r="I151" s="317"/>
      <c r="J151" s="317"/>
      <c r="K151" s="318" t="s">
        <v>107</v>
      </c>
      <c r="L151" s="993">
        <f>NET_publicv4_EUR</f>
        <v>2.2999999999999998</v>
      </c>
      <c r="M151" s="993"/>
      <c r="O151" s="205"/>
      <c r="P151" s="190"/>
      <c r="R151" s="284"/>
      <c r="S151" s="189"/>
    </row>
    <row r="152" spans="2:26" ht="25" customHeight="1">
      <c r="B152" s="137" t="s">
        <v>108</v>
      </c>
      <c r="C152" s="38" t="s">
        <v>109</v>
      </c>
      <c r="D152" s="130"/>
      <c r="E152" s="41" t="s">
        <v>106</v>
      </c>
      <c r="F152" s="319"/>
      <c r="G152" s="320"/>
      <c r="H152" s="320"/>
      <c r="I152" s="320"/>
      <c r="J152" s="320"/>
      <c r="K152" s="321" t="s">
        <v>94</v>
      </c>
      <c r="L152" s="1045">
        <f>NET_publicv6_EUR</f>
        <v>0</v>
      </c>
      <c r="M152" s="1045"/>
      <c r="O152" s="205"/>
      <c r="P152" s="190"/>
      <c r="R152" s="284"/>
      <c r="S152" s="189"/>
    </row>
    <row r="153" spans="2:26" ht="25" customHeight="1">
      <c r="B153" s="134" t="s">
        <v>110</v>
      </c>
      <c r="C153" s="30" t="s">
        <v>111</v>
      </c>
      <c r="D153" s="129"/>
      <c r="E153" s="148"/>
      <c r="F153" s="322"/>
      <c r="G153" s="317"/>
      <c r="H153" s="317"/>
      <c r="I153" s="317"/>
      <c r="J153" s="317"/>
      <c r="K153" s="318" t="s">
        <v>69</v>
      </c>
      <c r="L153" s="1046">
        <f>NET_ingress_EUR</f>
        <v>0</v>
      </c>
      <c r="M153" s="1046"/>
      <c r="O153" s="205"/>
      <c r="P153" s="190"/>
      <c r="R153" s="284"/>
      <c r="S153" s="189"/>
    </row>
    <row r="154" spans="2:26" ht="25" customHeight="1">
      <c r="B154" s="137" t="s">
        <v>112</v>
      </c>
      <c r="C154" s="38" t="s">
        <v>111</v>
      </c>
      <c r="D154" s="130"/>
      <c r="E154" s="41" t="s">
        <v>113</v>
      </c>
      <c r="F154" s="319"/>
      <c r="G154" s="323"/>
      <c r="H154" s="323"/>
      <c r="I154" s="323"/>
      <c r="J154" s="323"/>
      <c r="K154" s="324" t="s">
        <v>69</v>
      </c>
      <c r="L154" s="1045">
        <f>NET_egress_EUR</f>
        <v>2.3E-2</v>
      </c>
      <c r="M154" s="1045"/>
      <c r="O154" s="205"/>
      <c r="P154" s="190"/>
      <c r="R154" s="284"/>
      <c r="S154" s="189"/>
    </row>
    <row r="155" spans="2:26" ht="25" customHeight="1">
      <c r="B155" s="134" t="s">
        <v>114</v>
      </c>
      <c r="C155" s="30" t="s">
        <v>115</v>
      </c>
      <c r="D155" s="129"/>
      <c r="E155" s="30"/>
      <c r="F155" s="322"/>
      <c r="G155" s="317"/>
      <c r="H155" s="317"/>
      <c r="I155" s="317"/>
      <c r="J155" s="317"/>
      <c r="K155" s="318" t="s">
        <v>116</v>
      </c>
      <c r="L155" s="1007" t="str">
        <f>NET_mgn.slb_EUR</f>
        <v>Request a quote</v>
      </c>
      <c r="M155" s="1007"/>
      <c r="O155" s="205"/>
      <c r="Q155" s="191"/>
    </row>
    <row r="156" spans="2:26" ht="25" customHeight="1">
      <c r="B156" s="137" t="s">
        <v>117</v>
      </c>
      <c r="C156" s="38" t="s">
        <v>118</v>
      </c>
      <c r="D156" s="130"/>
      <c r="E156" s="41"/>
      <c r="F156" s="319"/>
      <c r="G156" s="323"/>
      <c r="H156" s="323"/>
      <c r="I156" s="323"/>
      <c r="J156" s="323"/>
      <c r="K156" s="321" t="s">
        <v>94</v>
      </c>
      <c r="L156" s="1045">
        <f>NET_rdns_EUR</f>
        <v>0</v>
      </c>
      <c r="M156" s="1045"/>
      <c r="O156" s="205"/>
      <c r="P156" s="190"/>
      <c r="R156" s="284"/>
      <c r="S156" s="189"/>
    </row>
    <row r="157" spans="2:26" ht="25" customHeight="1">
      <c r="B157" s="134" t="s">
        <v>120</v>
      </c>
      <c r="C157" s="30" t="s">
        <v>121</v>
      </c>
      <c r="D157" s="129"/>
      <c r="E157" s="30"/>
      <c r="F157" s="322"/>
      <c r="G157" s="317"/>
      <c r="H157" s="317"/>
      <c r="I157" s="317"/>
      <c r="J157" s="317"/>
      <c r="K157" s="318" t="s">
        <v>94</v>
      </c>
      <c r="L157" s="1007">
        <f>NET_byoip_EUR</f>
        <v>0</v>
      </c>
      <c r="M157" s="1007"/>
      <c r="O157" s="205"/>
      <c r="P157" s="190"/>
      <c r="R157" s="284"/>
      <c r="S157" s="189"/>
    </row>
    <row r="158" spans="2:26" ht="25" customHeight="1">
      <c r="B158" s="141"/>
      <c r="C158" s="141"/>
      <c r="D158" s="142"/>
      <c r="E158" s="142"/>
      <c r="F158" s="327"/>
      <c r="G158" s="327"/>
      <c r="H158" s="327"/>
      <c r="I158" s="327"/>
      <c r="J158" s="327"/>
      <c r="K158" s="326"/>
      <c r="L158" s="1044"/>
      <c r="M158" s="1044"/>
      <c r="O158" s="205"/>
      <c r="P158" s="190"/>
      <c r="R158" s="284"/>
      <c r="S158" s="189"/>
    </row>
    <row r="159" spans="2:26" ht="25" customHeight="1">
      <c r="B159" s="161"/>
      <c r="C159" s="161"/>
      <c r="D159" s="13"/>
      <c r="E159" s="13"/>
      <c r="F159" s="198"/>
      <c r="G159" s="198"/>
      <c r="H159" s="198"/>
      <c r="I159" s="198"/>
      <c r="J159" s="198"/>
      <c r="K159" s="328"/>
      <c r="L159" s="991"/>
      <c r="M159" s="991"/>
      <c r="O159" s="205"/>
      <c r="Q159" s="191"/>
      <c r="R159" s="284"/>
      <c r="S159" s="189"/>
    </row>
    <row r="160" spans="2:26" ht="25" customHeight="1">
      <c r="B160" s="470" t="s">
        <v>9</v>
      </c>
      <c r="C160" s="23"/>
      <c r="D160" s="24"/>
      <c r="E160" s="24" t="s">
        <v>64</v>
      </c>
      <c r="F160" s="265"/>
      <c r="G160" s="537"/>
      <c r="H160" s="537"/>
      <c r="I160" s="537"/>
      <c r="J160" s="537"/>
      <c r="K160" s="314" t="s">
        <v>103</v>
      </c>
      <c r="L160" s="992" t="s">
        <v>14</v>
      </c>
      <c r="M160" s="992"/>
      <c r="O160" s="205"/>
      <c r="R160" s="284"/>
      <c r="S160" s="189"/>
    </row>
    <row r="161" spans="2:22" ht="25" customHeight="1">
      <c r="B161" s="134" t="s">
        <v>122</v>
      </c>
      <c r="C161" s="129"/>
      <c r="D161" s="30"/>
      <c r="E161" s="30" t="s">
        <v>123</v>
      </c>
      <c r="F161" s="316"/>
      <c r="G161" s="317"/>
      <c r="H161" s="317"/>
      <c r="I161" s="317"/>
      <c r="J161" s="317"/>
      <c r="K161" s="318" t="s">
        <v>10</v>
      </c>
      <c r="L161" s="993">
        <f>SW_win.ser.201X_EUR</f>
        <v>7.1760000000000002</v>
      </c>
      <c r="M161" s="993"/>
      <c r="N161" s="281"/>
      <c r="O161" s="205"/>
      <c r="Q161" s="284"/>
      <c r="R161" s="284"/>
      <c r="S161" s="189"/>
      <c r="U161" s="180"/>
      <c r="V161" s="180"/>
    </row>
    <row r="162" spans="2:22" ht="25" customHeight="1">
      <c r="B162" s="137" t="s">
        <v>124</v>
      </c>
      <c r="C162" s="130"/>
      <c r="D162" s="38"/>
      <c r="E162" s="38" t="s">
        <v>125</v>
      </c>
      <c r="F162" s="319"/>
      <c r="G162" s="320"/>
      <c r="H162" s="320"/>
      <c r="I162" s="320"/>
      <c r="J162" s="320"/>
      <c r="K162" s="324" t="s">
        <v>10</v>
      </c>
      <c r="L162" s="1050">
        <f>SW_win.ser.201X_EUR</f>
        <v>7.1760000000000002</v>
      </c>
      <c r="M162" s="1050"/>
      <c r="N162" s="281"/>
      <c r="O162" s="205"/>
      <c r="Q162" s="284"/>
      <c r="R162" s="284"/>
      <c r="S162" s="189"/>
      <c r="U162" s="180"/>
      <c r="V162" s="180"/>
    </row>
    <row r="163" spans="2:22" s="169" customFormat="1" ht="25" customHeight="1">
      <c r="B163" s="134" t="s">
        <v>126</v>
      </c>
      <c r="C163" s="129"/>
      <c r="D163" s="30"/>
      <c r="E163" s="30" t="s">
        <v>417</v>
      </c>
      <c r="F163" s="316"/>
      <c r="G163" s="317"/>
      <c r="H163" s="317"/>
      <c r="I163" s="317"/>
      <c r="J163" s="317"/>
      <c r="K163" s="318" t="s">
        <v>10</v>
      </c>
      <c r="L163" s="1007">
        <f>SW_ms.sql.ser_EUR</f>
        <v>137.816</v>
      </c>
      <c r="M163" s="1007"/>
      <c r="O163" s="205"/>
      <c r="P163" s="161"/>
      <c r="R163" s="284"/>
      <c r="S163" s="189"/>
    </row>
    <row r="164" spans="2:22" ht="25" customHeight="1">
      <c r="B164" s="137" t="s">
        <v>128</v>
      </c>
      <c r="C164" s="130"/>
      <c r="D164" s="38"/>
      <c r="E164" s="38" t="s">
        <v>129</v>
      </c>
      <c r="F164" s="319"/>
      <c r="G164" s="320"/>
      <c r="H164" s="320"/>
      <c r="I164" s="320"/>
      <c r="J164" s="320"/>
      <c r="K164" s="324" t="s">
        <v>116</v>
      </c>
      <c r="L164" s="1051" t="str">
        <f>SW_stackn_EUR</f>
        <v>Request a quote</v>
      </c>
      <c r="M164" s="1051"/>
      <c r="O164" s="205"/>
      <c r="R164" s="284"/>
      <c r="S164" s="189"/>
    </row>
    <row r="165" spans="2:22" ht="25" customHeight="1">
      <c r="B165" s="134" t="s">
        <v>130</v>
      </c>
      <c r="C165" s="129"/>
      <c r="D165" s="30"/>
      <c r="E165" s="30" t="s">
        <v>131</v>
      </c>
      <c r="F165" s="316"/>
      <c r="G165" s="317"/>
      <c r="H165" s="317"/>
      <c r="I165" s="317"/>
      <c r="J165" s="317"/>
      <c r="K165" s="325" t="s">
        <v>94</v>
      </c>
      <c r="L165" s="1052" t="str">
        <f>SW_nextcloud_EUR</f>
        <v>Request a quote</v>
      </c>
      <c r="M165" s="1052"/>
      <c r="N165" s="281"/>
      <c r="O165" s="205"/>
      <c r="Q165" s="284"/>
      <c r="R165" s="284"/>
      <c r="S165" s="189"/>
      <c r="U165" s="180"/>
      <c r="V165" s="180"/>
    </row>
    <row r="166" spans="2:22" s="169" customFormat="1" ht="25" customHeight="1">
      <c r="B166" s="137" t="s">
        <v>132</v>
      </c>
      <c r="C166" s="130"/>
      <c r="D166" s="38"/>
      <c r="E166" s="38" t="s">
        <v>133</v>
      </c>
      <c r="F166" s="319"/>
      <c r="G166" s="320"/>
      <c r="H166" s="320"/>
      <c r="I166" s="320"/>
      <c r="J166" s="320"/>
      <c r="K166" s="321" t="s">
        <v>94</v>
      </c>
      <c r="L166" s="1051" t="str">
        <f>SW_suse_EUR</f>
        <v>Request a quote</v>
      </c>
      <c r="M166" s="1051"/>
      <c r="O166" s="205"/>
      <c r="P166" s="161"/>
      <c r="R166" s="284"/>
      <c r="S166" s="189"/>
    </row>
    <row r="167" spans="2:22" ht="25" customHeight="1">
      <c r="B167" s="134" t="s">
        <v>134</v>
      </c>
      <c r="C167" s="129"/>
      <c r="D167" s="30"/>
      <c r="E167" s="30" t="s">
        <v>135</v>
      </c>
      <c r="F167" s="316"/>
      <c r="G167" s="317"/>
      <c r="H167" s="317"/>
      <c r="I167" s="317"/>
      <c r="J167" s="317"/>
      <c r="K167" s="325" t="s">
        <v>116</v>
      </c>
      <c r="L167" s="1052" t="str">
        <f>SW_cluster.control_EUR</f>
        <v>3x instance price</v>
      </c>
      <c r="M167" s="1052"/>
      <c r="O167" s="205"/>
      <c r="R167" s="284"/>
      <c r="S167" s="189"/>
    </row>
    <row r="168" spans="2:22" ht="25" customHeight="1">
      <c r="B168" s="137" t="s">
        <v>136</v>
      </c>
      <c r="C168" s="130"/>
      <c r="D168" s="38"/>
      <c r="E168" s="38" t="s">
        <v>137</v>
      </c>
      <c r="F168" s="319"/>
      <c r="G168" s="320"/>
      <c r="H168" s="320"/>
      <c r="I168" s="320"/>
      <c r="J168" s="320"/>
      <c r="K168" s="324" t="s">
        <v>138</v>
      </c>
      <c r="L168" s="1008">
        <f>SW_backup.ninja_EUR</f>
        <v>36.799999999999997</v>
      </c>
      <c r="M168" s="1008"/>
      <c r="O168" s="205"/>
      <c r="R168" s="284"/>
      <c r="S168" s="189"/>
    </row>
    <row r="169" spans="2:22" ht="25" customHeight="1">
      <c r="B169" s="106"/>
      <c r="C169" s="103"/>
      <c r="D169" s="104"/>
      <c r="E169" s="104"/>
      <c r="F169" s="330"/>
      <c r="G169" s="331"/>
      <c r="H169" s="331"/>
      <c r="I169" s="331"/>
      <c r="J169" s="331"/>
      <c r="K169" s="332"/>
      <c r="L169" s="1009"/>
      <c r="M169" s="1009"/>
      <c r="O169" s="205"/>
      <c r="P169" s="190"/>
      <c r="R169" s="284"/>
      <c r="S169" s="189"/>
    </row>
    <row r="170" spans="2:22" ht="25" customHeight="1">
      <c r="B170" s="471"/>
      <c r="K170" s="334"/>
      <c r="L170" s="1047"/>
      <c r="M170" s="1047"/>
      <c r="O170" s="205"/>
      <c r="Q170" s="191"/>
      <c r="R170" s="284"/>
      <c r="S170" s="189"/>
    </row>
    <row r="171" spans="2:22" ht="25" customHeight="1">
      <c r="B171" s="416" t="s">
        <v>139</v>
      </c>
      <c r="C171" s="13"/>
      <c r="D171" s="13"/>
      <c r="E171" s="13"/>
      <c r="F171" s="198"/>
      <c r="G171" s="198"/>
      <c r="H171" s="198"/>
      <c r="I171" s="198"/>
      <c r="J171" s="198"/>
      <c r="K171" s="328"/>
      <c r="L171" s="991"/>
      <c r="M171" s="991"/>
      <c r="O171" s="205"/>
      <c r="Q171" s="191"/>
      <c r="R171" s="284"/>
      <c r="S171" s="189"/>
    </row>
    <row r="172" spans="2:22" ht="25" customHeight="1">
      <c r="B172" s="470" t="s">
        <v>9</v>
      </c>
      <c r="C172" s="23"/>
      <c r="D172" s="24"/>
      <c r="E172" s="24" t="s">
        <v>64</v>
      </c>
      <c r="F172" s="265"/>
      <c r="G172" s="537"/>
      <c r="H172" s="537"/>
      <c r="I172" s="537"/>
      <c r="J172" s="537"/>
      <c r="K172" s="314" t="s">
        <v>103</v>
      </c>
      <c r="L172" s="992" t="s">
        <v>14</v>
      </c>
      <c r="M172" s="992"/>
      <c r="O172" s="205"/>
      <c r="Q172" s="191"/>
      <c r="R172" s="284"/>
      <c r="S172" s="189"/>
    </row>
    <row r="173" spans="2:22" ht="25" customHeight="1">
      <c r="B173" s="134" t="s">
        <v>412</v>
      </c>
      <c r="C173" s="129"/>
      <c r="D173" s="30"/>
      <c r="E173" s="30" t="s">
        <v>414</v>
      </c>
      <c r="F173" s="316"/>
      <c r="G173" s="317"/>
      <c r="H173" s="317"/>
      <c r="I173" s="317"/>
      <c r="J173" s="317"/>
      <c r="K173" s="318"/>
      <c r="L173" s="1057">
        <f>PAAS_man.kubernetes24_EUR</f>
        <v>2208</v>
      </c>
      <c r="M173" s="1057"/>
      <c r="O173" s="205"/>
      <c r="Q173" s="191"/>
      <c r="R173" s="284"/>
      <c r="S173" s="189"/>
    </row>
    <row r="174" spans="2:22" ht="25" customHeight="1">
      <c r="B174" s="137" t="s">
        <v>413</v>
      </c>
      <c r="C174" s="130"/>
      <c r="D174" s="38"/>
      <c r="E174" s="38" t="s">
        <v>415</v>
      </c>
      <c r="F174" s="319"/>
      <c r="G174" s="320"/>
      <c r="H174" s="320"/>
      <c r="I174" s="320"/>
      <c r="J174" s="320"/>
      <c r="K174" s="324"/>
      <c r="L174" s="1058">
        <f>PAAS_man.kubernetes8_EUR</f>
        <v>1380</v>
      </c>
      <c r="M174" s="1058"/>
      <c r="O174" s="205"/>
      <c r="Q174" s="191"/>
      <c r="R174" s="284"/>
      <c r="S174" s="189"/>
    </row>
    <row r="175" spans="2:22" ht="25" customHeight="1">
      <c r="B175" s="134" t="s">
        <v>141</v>
      </c>
      <c r="C175" s="129"/>
      <c r="D175" s="30"/>
      <c r="E175" s="30" t="s">
        <v>142</v>
      </c>
      <c r="F175" s="316"/>
      <c r="G175" s="317"/>
      <c r="H175" s="317"/>
      <c r="I175" s="317"/>
      <c r="J175" s="317"/>
      <c r="K175" s="318" t="s">
        <v>116</v>
      </c>
      <c r="L175" s="1048" t="str">
        <f>PAAS_man.elasticsearch_EUR</f>
        <v>Requests for quotation</v>
      </c>
      <c r="M175" s="1048"/>
      <c r="O175" s="205"/>
      <c r="Q175" s="191"/>
      <c r="R175" s="284"/>
      <c r="S175" s="189"/>
    </row>
    <row r="176" spans="2:22" ht="25" customHeight="1">
      <c r="B176" s="137" t="s">
        <v>143</v>
      </c>
      <c r="C176" s="130"/>
      <c r="D176" s="38"/>
      <c r="E176" s="38" t="s">
        <v>144</v>
      </c>
      <c r="F176" s="319"/>
      <c r="G176" s="320"/>
      <c r="H176" s="320"/>
      <c r="I176" s="320"/>
      <c r="J176" s="320"/>
      <c r="K176" s="324" t="s">
        <v>145</v>
      </c>
      <c r="L176" s="1058" t="str">
        <f>PAAS_man.redis_EUR</f>
        <v>Requests for quotation</v>
      </c>
      <c r="M176" s="1058"/>
      <c r="O176" s="205"/>
      <c r="Q176" s="191"/>
      <c r="R176" s="284"/>
      <c r="S176" s="189"/>
    </row>
    <row r="177" spans="2:19" ht="25" customHeight="1">
      <c r="B177" s="134" t="s">
        <v>146</v>
      </c>
      <c r="C177" s="129"/>
      <c r="D177" s="30"/>
      <c r="E177" s="30" t="s">
        <v>147</v>
      </c>
      <c r="F177" s="316"/>
      <c r="G177" s="317"/>
      <c r="H177" s="317"/>
      <c r="I177" s="317"/>
      <c r="J177" s="317"/>
      <c r="K177" s="318" t="s">
        <v>148</v>
      </c>
      <c r="L177" s="1048" t="str">
        <f>PAAS_man.nats_EUR</f>
        <v>Requests for quotation</v>
      </c>
      <c r="M177" s="1048"/>
      <c r="O177" s="205"/>
      <c r="Q177" s="191"/>
      <c r="R177" s="284"/>
      <c r="S177" s="189"/>
    </row>
    <row r="178" spans="2:19" ht="25" customHeight="1">
      <c r="B178" s="137" t="s">
        <v>149</v>
      </c>
      <c r="C178" s="130"/>
      <c r="D178" s="38"/>
      <c r="E178" s="38" t="s">
        <v>150</v>
      </c>
      <c r="F178" s="319"/>
      <c r="G178" s="320"/>
      <c r="H178" s="320"/>
      <c r="I178" s="320"/>
      <c r="J178" s="320"/>
      <c r="K178" s="324" t="s">
        <v>140</v>
      </c>
      <c r="L178" s="1049" t="str">
        <f>PAAS_man.mariadb_EUR</f>
        <v>Requests for quotation</v>
      </c>
      <c r="M178" s="1049"/>
      <c r="O178" s="205"/>
      <c r="Q178" s="191"/>
      <c r="R178" s="284"/>
      <c r="S178" s="189"/>
    </row>
    <row r="179" spans="2:19" ht="25" customHeight="1">
      <c r="B179" s="106"/>
      <c r="C179" s="103"/>
      <c r="D179" s="397"/>
      <c r="E179" s="105"/>
      <c r="F179" s="330"/>
      <c r="G179" s="331"/>
      <c r="H179" s="331"/>
      <c r="I179" s="331"/>
      <c r="J179" s="331"/>
      <c r="K179" s="332"/>
      <c r="L179" s="1009"/>
      <c r="M179" s="1009"/>
      <c r="O179" s="205"/>
      <c r="Q179" s="191"/>
      <c r="R179" s="284"/>
      <c r="S179" s="189"/>
    </row>
    <row r="180" spans="2:19" ht="25" customHeight="1">
      <c r="B180" s="130"/>
      <c r="C180" s="130"/>
      <c r="D180" s="38"/>
      <c r="E180" s="31"/>
      <c r="F180" s="319"/>
      <c r="G180" s="320"/>
      <c r="H180" s="324"/>
      <c r="I180" s="543"/>
      <c r="K180" s="161"/>
      <c r="L180" s="1055"/>
      <c r="M180" s="1055"/>
      <c r="N180" s="189"/>
      <c r="O180" s="205"/>
    </row>
    <row r="181" spans="2:19" ht="25" customHeight="1">
      <c r="B181" s="28"/>
      <c r="C181" s="26"/>
      <c r="D181" s="26"/>
      <c r="E181" s="26"/>
      <c r="F181" s="304"/>
      <c r="G181" s="305"/>
      <c r="H181" s="303"/>
      <c r="I181" s="281"/>
      <c r="J181" s="281"/>
      <c r="K181" s="284"/>
      <c r="L181" s="1056"/>
      <c r="M181" s="1056"/>
      <c r="N181" s="189"/>
      <c r="O181" s="205"/>
      <c r="P181" s="180"/>
      <c r="Q181" s="180"/>
    </row>
    <row r="182" spans="2:19" s="169" customFormat="1" ht="25" customHeight="1">
      <c r="B182" s="994" t="s">
        <v>151</v>
      </c>
      <c r="C182" s="994"/>
      <c r="D182" s="994"/>
      <c r="E182" s="994"/>
      <c r="F182" s="994"/>
      <c r="G182" s="994"/>
      <c r="H182" s="335"/>
      <c r="J182" s="178"/>
      <c r="L182" s="1000"/>
      <c r="M182" s="1000"/>
      <c r="N182" s="189"/>
      <c r="O182" s="205"/>
    </row>
    <row r="183" spans="2:19" s="169" customFormat="1" ht="25" customHeight="1">
      <c r="B183" s="994"/>
      <c r="C183" s="994"/>
      <c r="D183" s="994"/>
      <c r="E183" s="994"/>
      <c r="F183" s="994"/>
      <c r="G183" s="994"/>
      <c r="H183" s="335"/>
      <c r="J183" s="178"/>
      <c r="L183" s="1000"/>
      <c r="M183" s="1000"/>
      <c r="N183" s="189"/>
      <c r="O183" s="205"/>
    </row>
    <row r="184" spans="2:19" s="169" customFormat="1" ht="25" customHeight="1">
      <c r="B184" s="994"/>
      <c r="C184" s="994"/>
      <c r="D184" s="994"/>
      <c r="E184" s="994"/>
      <c r="F184" s="994"/>
      <c r="G184" s="994"/>
      <c r="H184" s="335"/>
      <c r="J184" s="178"/>
      <c r="L184" s="1000"/>
      <c r="M184" s="1000"/>
      <c r="N184" s="189"/>
      <c r="O184" s="205"/>
    </row>
    <row r="185" spans="2:19" s="169" customFormat="1" ht="25" customHeight="1">
      <c r="B185" s="995" t="s">
        <v>6</v>
      </c>
      <c r="C185" s="995"/>
      <c r="D185" s="995"/>
      <c r="E185" s="995"/>
      <c r="F185" s="995"/>
      <c r="H185" s="335"/>
      <c r="J185" s="178"/>
      <c r="L185" s="1000"/>
      <c r="M185" s="1000"/>
      <c r="N185" s="189"/>
      <c r="O185" s="205"/>
    </row>
    <row r="186" spans="2:19" s="169" customFormat="1" ht="25" customHeight="1">
      <c r="B186" s="996"/>
      <c r="C186" s="996"/>
      <c r="D186" s="996"/>
      <c r="E186" s="996"/>
      <c r="F186" s="996"/>
      <c r="G186" s="182"/>
      <c r="H186" s="183"/>
      <c r="I186" s="182"/>
      <c r="J186" s="184"/>
      <c r="K186" s="182"/>
      <c r="L186" s="1001"/>
      <c r="M186" s="1001"/>
      <c r="N186" s="189"/>
      <c r="O186" s="205"/>
    </row>
    <row r="187" spans="2:19" s="169" customFormat="1" ht="25" customHeight="1">
      <c r="B187" s="133"/>
      <c r="C187" s="133"/>
      <c r="D187" s="133"/>
      <c r="E187" s="133"/>
      <c r="F187" s="530"/>
      <c r="G187" s="182"/>
      <c r="H187" s="183"/>
      <c r="I187" s="182"/>
      <c r="J187" s="184"/>
      <c r="K187" s="182"/>
      <c r="L187" s="1001"/>
      <c r="M187" s="1001"/>
      <c r="N187" s="189"/>
      <c r="O187" s="205"/>
    </row>
    <row r="188" spans="2:19" ht="25" customHeight="1">
      <c r="B188" s="416" t="s">
        <v>152</v>
      </c>
      <c r="C188" s="13"/>
      <c r="D188" s="13"/>
      <c r="F188" s="198"/>
      <c r="G188" s="198"/>
      <c r="H188" s="198"/>
      <c r="I188" s="198"/>
      <c r="J188" s="198"/>
      <c r="K188" s="198"/>
      <c r="L188" s="1002"/>
      <c r="M188" s="1002"/>
      <c r="N188" s="189"/>
      <c r="O188" s="205"/>
      <c r="P188" s="180"/>
      <c r="Q188" s="180"/>
    </row>
    <row r="189" spans="2:19" ht="25" customHeight="1">
      <c r="B189" s="23" t="s">
        <v>9</v>
      </c>
      <c r="C189" s="23"/>
      <c r="D189" s="23"/>
      <c r="E189" s="24" t="s">
        <v>64</v>
      </c>
      <c r="F189" s="265"/>
      <c r="G189" s="537"/>
      <c r="H189" s="537"/>
      <c r="I189" s="537"/>
      <c r="J189" s="537"/>
      <c r="K189" s="314" t="s">
        <v>103</v>
      </c>
      <c r="L189" s="992" t="s">
        <v>14</v>
      </c>
      <c r="M189" s="992"/>
      <c r="N189" s="189"/>
      <c r="O189" s="205"/>
      <c r="P189" s="180"/>
      <c r="Q189" s="180"/>
    </row>
    <row r="190" spans="2:19" ht="25" customHeight="1">
      <c r="B190" s="134" t="s">
        <v>153</v>
      </c>
      <c r="C190" s="129"/>
      <c r="D190" s="129"/>
      <c r="E190" s="30" t="s">
        <v>154</v>
      </c>
      <c r="F190" s="316"/>
      <c r="G190" s="317"/>
      <c r="H190" s="317"/>
      <c r="I190" s="317"/>
      <c r="J190" s="317"/>
      <c r="K190" s="325" t="s">
        <v>94</v>
      </c>
      <c r="L190" s="1003">
        <v>0</v>
      </c>
      <c r="M190" s="1003"/>
      <c r="N190" s="189"/>
      <c r="O190" s="205"/>
      <c r="P190" s="180"/>
      <c r="Q190" s="180"/>
    </row>
    <row r="191" spans="2:19" ht="25" customHeight="1">
      <c r="B191" s="137" t="s">
        <v>155</v>
      </c>
      <c r="C191" s="130"/>
      <c r="D191" s="130"/>
      <c r="E191" s="38" t="s">
        <v>156</v>
      </c>
      <c r="F191" s="319"/>
      <c r="G191" s="320"/>
      <c r="H191" s="320"/>
      <c r="I191" s="320"/>
      <c r="J191" s="320"/>
      <c r="K191" s="324" t="s">
        <v>157</v>
      </c>
      <c r="L191" s="1053" t="s">
        <v>158</v>
      </c>
      <c r="M191" s="1053"/>
      <c r="N191" s="189"/>
      <c r="O191" s="205"/>
      <c r="P191" s="180"/>
      <c r="Q191" s="180"/>
    </row>
    <row r="192" spans="2:19" ht="25" customHeight="1">
      <c r="B192" s="134" t="s">
        <v>159</v>
      </c>
      <c r="C192" s="129"/>
      <c r="D192" s="129"/>
      <c r="E192" s="30" t="s">
        <v>160</v>
      </c>
      <c r="F192" s="316"/>
      <c r="G192" s="317"/>
      <c r="H192" s="317"/>
      <c r="I192" s="317"/>
      <c r="J192" s="317"/>
      <c r="K192" s="318" t="s">
        <v>161</v>
      </c>
      <c r="L192" s="1054" t="s">
        <v>162</v>
      </c>
      <c r="M192" s="1054"/>
      <c r="N192" s="189"/>
      <c r="O192" s="205"/>
      <c r="P192" s="180"/>
      <c r="Q192" s="180"/>
    </row>
    <row r="193" spans="2:17" ht="25" customHeight="1">
      <c r="B193" s="106"/>
      <c r="C193" s="103"/>
      <c r="D193" s="103"/>
      <c r="E193" s="397" t="s">
        <v>163</v>
      </c>
      <c r="F193" s="330"/>
      <c r="G193" s="331"/>
      <c r="H193" s="331"/>
      <c r="I193" s="331"/>
      <c r="J193" s="331"/>
      <c r="K193" s="332"/>
      <c r="L193" s="1009"/>
      <c r="M193" s="1009"/>
      <c r="N193" s="189"/>
      <c r="O193" s="205"/>
      <c r="P193" s="180"/>
      <c r="Q193" s="180"/>
    </row>
    <row r="194" spans="2:17" ht="25" customHeight="1">
      <c r="B194" s="137"/>
      <c r="C194" s="130"/>
      <c r="D194" s="130"/>
      <c r="E194" s="38"/>
      <c r="F194" s="319"/>
      <c r="G194" s="320"/>
      <c r="H194" s="320"/>
      <c r="I194" s="320"/>
      <c r="J194" s="320"/>
      <c r="K194" s="324"/>
      <c r="L194" s="1010"/>
      <c r="M194" s="1010"/>
      <c r="N194" s="189"/>
      <c r="O194" s="205"/>
      <c r="P194" s="180"/>
      <c r="Q194" s="180"/>
    </row>
    <row r="195" spans="2:17" ht="25" customHeight="1">
      <c r="B195" s="416" t="s">
        <v>164</v>
      </c>
      <c r="C195" s="13"/>
      <c r="D195" s="13"/>
      <c r="E195" s="13"/>
      <c r="F195" s="198"/>
      <c r="G195" s="198"/>
      <c r="H195" s="198"/>
      <c r="I195" s="198"/>
      <c r="J195" s="198"/>
      <c r="K195" s="328"/>
      <c r="L195" s="991"/>
      <c r="M195" s="991"/>
      <c r="N195" s="189"/>
      <c r="O195" s="205"/>
      <c r="P195" s="180"/>
      <c r="Q195" s="180"/>
    </row>
    <row r="196" spans="2:17" ht="25" customHeight="1">
      <c r="B196" s="470" t="s">
        <v>9</v>
      </c>
      <c r="C196" s="23"/>
      <c r="D196" s="23"/>
      <c r="E196" s="24" t="s">
        <v>64</v>
      </c>
      <c r="F196" s="265"/>
      <c r="G196" s="537"/>
      <c r="H196" s="537"/>
      <c r="I196" s="537"/>
      <c r="J196" s="537"/>
      <c r="K196" s="314" t="s">
        <v>103</v>
      </c>
      <c r="L196" s="992" t="s">
        <v>14</v>
      </c>
      <c r="M196" s="992"/>
      <c r="N196" s="189"/>
      <c r="O196" s="205"/>
      <c r="P196" s="180"/>
      <c r="Q196" s="180"/>
    </row>
    <row r="197" spans="2:17" ht="25" customHeight="1">
      <c r="B197" s="134" t="s">
        <v>165</v>
      </c>
      <c r="C197" s="129"/>
      <c r="D197" s="129"/>
      <c r="E197" s="30" t="s">
        <v>166</v>
      </c>
      <c r="F197" s="316"/>
      <c r="G197" s="317"/>
      <c r="H197" s="317"/>
      <c r="I197" s="317"/>
      <c r="J197" s="317"/>
      <c r="K197" s="318" t="s">
        <v>161</v>
      </c>
      <c r="L197" s="993">
        <f>PS_consult.jun_EUR</f>
        <v>103.684</v>
      </c>
      <c r="M197" s="993"/>
      <c r="N197" s="189"/>
      <c r="O197" s="205"/>
      <c r="P197" s="180"/>
      <c r="Q197" s="180"/>
    </row>
    <row r="198" spans="2:17" ht="25" customHeight="1">
      <c r="B198" s="137" t="s">
        <v>167</v>
      </c>
      <c r="C198" s="130"/>
      <c r="D198" s="130"/>
      <c r="E198" s="38" t="s">
        <v>168</v>
      </c>
      <c r="F198" s="319"/>
      <c r="G198" s="320"/>
      <c r="H198" s="320"/>
      <c r="I198" s="320"/>
      <c r="J198" s="320"/>
      <c r="K198" s="324" t="s">
        <v>161</v>
      </c>
      <c r="L198" s="1050">
        <f>PS_consult.sen_EUR</f>
        <v>126.408</v>
      </c>
      <c r="M198" s="1050"/>
      <c r="N198" s="189"/>
      <c r="O198" s="205"/>
      <c r="P198" s="180"/>
      <c r="Q198" s="180"/>
    </row>
    <row r="199" spans="2:17" ht="25" customHeight="1">
      <c r="B199" s="134" t="s">
        <v>169</v>
      </c>
      <c r="C199" s="129"/>
      <c r="D199" s="129"/>
      <c r="E199" s="30" t="s">
        <v>170</v>
      </c>
      <c r="F199" s="316"/>
      <c r="G199" s="317"/>
      <c r="H199" s="317"/>
      <c r="I199" s="317"/>
      <c r="J199" s="317"/>
      <c r="K199" s="318" t="s">
        <v>161</v>
      </c>
      <c r="L199" s="1007">
        <f>PS_cloudarch.jun_EUR</f>
        <v>117.48399999999999</v>
      </c>
      <c r="M199" s="1007"/>
      <c r="N199" s="189"/>
      <c r="O199" s="205"/>
      <c r="P199" s="180"/>
      <c r="Q199" s="180"/>
    </row>
    <row r="200" spans="2:17" ht="25" customHeight="1">
      <c r="B200" s="137" t="s">
        <v>171</v>
      </c>
      <c r="C200" s="130"/>
      <c r="D200" s="130"/>
      <c r="E200" s="38" t="s">
        <v>172</v>
      </c>
      <c r="F200" s="329"/>
      <c r="G200" s="320"/>
      <c r="H200" s="320"/>
      <c r="I200" s="320"/>
      <c r="J200" s="320"/>
      <c r="K200" s="324" t="s">
        <v>161</v>
      </c>
      <c r="L200" s="1050">
        <f>PS_cloudarch.sen_EUR</f>
        <v>126.408</v>
      </c>
      <c r="M200" s="1050"/>
      <c r="N200" s="189"/>
      <c r="O200" s="205"/>
      <c r="P200" s="180"/>
      <c r="Q200" s="180"/>
    </row>
    <row r="201" spans="2:17" ht="25" customHeight="1">
      <c r="B201" s="134" t="s">
        <v>173</v>
      </c>
      <c r="C201" s="129"/>
      <c r="D201" s="129"/>
      <c r="E201" s="30" t="s">
        <v>174</v>
      </c>
      <c r="F201" s="316"/>
      <c r="G201" s="317"/>
      <c r="H201" s="317"/>
      <c r="I201" s="317"/>
      <c r="J201" s="317"/>
      <c r="K201" s="318" t="s">
        <v>161</v>
      </c>
      <c r="L201" s="1007">
        <f>PS_pm.jun_EUR</f>
        <v>104.788</v>
      </c>
      <c r="M201" s="1007"/>
      <c r="N201" s="189"/>
      <c r="O201" s="205"/>
      <c r="P201" s="180"/>
      <c r="Q201" s="180"/>
    </row>
    <row r="202" spans="2:17" ht="25" customHeight="1">
      <c r="B202" s="137" t="s">
        <v>175</v>
      </c>
      <c r="C202" s="130"/>
      <c r="D202" s="130"/>
      <c r="E202" s="38" t="s">
        <v>176</v>
      </c>
      <c r="F202" s="319"/>
      <c r="G202" s="320"/>
      <c r="H202" s="320"/>
      <c r="I202" s="320"/>
      <c r="J202" s="320"/>
      <c r="K202" s="324" t="s">
        <v>161</v>
      </c>
      <c r="L202" s="1008">
        <f>PS_pm.sen_EUR</f>
        <v>126.408</v>
      </c>
      <c r="M202" s="1008"/>
      <c r="N202" s="189"/>
      <c r="O202" s="205"/>
      <c r="P202" s="180"/>
      <c r="Q202" s="180"/>
    </row>
    <row r="203" spans="2:17" ht="25" customHeight="1">
      <c r="B203" s="106"/>
      <c r="C203" s="103"/>
      <c r="D203" s="103"/>
      <c r="E203" s="397"/>
      <c r="F203" s="330"/>
      <c r="G203" s="331"/>
      <c r="H203" s="331"/>
      <c r="I203" s="331"/>
      <c r="J203" s="331"/>
      <c r="K203" s="332"/>
      <c r="L203" s="1009"/>
      <c r="M203" s="1009"/>
      <c r="N203" s="189"/>
      <c r="O203" s="205"/>
      <c r="P203" s="180"/>
      <c r="Q203" s="180"/>
    </row>
    <row r="204" spans="2:17" ht="25" customHeight="1">
      <c r="B204" s="137"/>
      <c r="C204" s="130"/>
      <c r="D204" s="130"/>
      <c r="E204" s="38"/>
      <c r="F204" s="319"/>
      <c r="G204" s="320"/>
      <c r="H204" s="320"/>
      <c r="I204" s="320"/>
      <c r="J204" s="320"/>
      <c r="K204" s="324"/>
      <c r="L204" s="1010"/>
      <c r="M204" s="1010"/>
      <c r="N204" s="189"/>
      <c r="O204" s="205"/>
    </row>
    <row r="205" spans="2:17" ht="25" customHeight="1">
      <c r="B205" s="416" t="s">
        <v>177</v>
      </c>
      <c r="C205" s="13"/>
      <c r="D205" s="13"/>
      <c r="E205" s="13"/>
      <c r="F205" s="198"/>
      <c r="G205" s="198"/>
      <c r="H205" s="198"/>
      <c r="I205" s="198"/>
      <c r="J205" s="198"/>
      <c r="K205" s="328"/>
      <c r="L205" s="991"/>
      <c r="M205" s="991"/>
      <c r="N205" s="189"/>
      <c r="O205" s="205"/>
      <c r="P205" s="180"/>
      <c r="Q205" s="180"/>
    </row>
    <row r="206" spans="2:17" ht="25" customHeight="1">
      <c r="B206" s="470" t="s">
        <v>9</v>
      </c>
      <c r="C206" s="314" t="s">
        <v>178</v>
      </c>
      <c r="D206" s="314"/>
      <c r="E206" s="24" t="s">
        <v>64</v>
      </c>
      <c r="F206" s="265"/>
      <c r="G206" s="314"/>
      <c r="H206" s="314"/>
      <c r="I206" s="314"/>
      <c r="J206" s="314"/>
      <c r="K206" s="314" t="s">
        <v>103</v>
      </c>
      <c r="L206" s="992" t="s">
        <v>179</v>
      </c>
      <c r="M206" s="992"/>
      <c r="N206" s="189"/>
      <c r="O206" s="205"/>
      <c r="P206" s="180"/>
      <c r="Q206" s="180"/>
    </row>
    <row r="207" spans="2:17" ht="25" customHeight="1">
      <c r="B207" s="134" t="s">
        <v>180</v>
      </c>
      <c r="C207" s="318" t="s">
        <v>181</v>
      </c>
      <c r="D207" s="318"/>
      <c r="E207" s="30" t="s">
        <v>182</v>
      </c>
      <c r="F207" s="316"/>
      <c r="G207" s="318"/>
      <c r="H207" s="318"/>
      <c r="I207" s="318"/>
      <c r="J207" s="318"/>
      <c r="K207" s="318" t="s">
        <v>183</v>
      </c>
      <c r="L207" s="1003" t="s">
        <v>162</v>
      </c>
      <c r="M207" s="1003"/>
      <c r="N207" s="189"/>
      <c r="O207" s="205"/>
      <c r="P207" s="180"/>
      <c r="Q207" s="180"/>
    </row>
    <row r="208" spans="2:17" ht="25" customHeight="1">
      <c r="B208" s="137" t="s">
        <v>184</v>
      </c>
      <c r="C208" s="324" t="s">
        <v>181</v>
      </c>
      <c r="D208" s="324"/>
      <c r="E208" s="38" t="s">
        <v>185</v>
      </c>
      <c r="F208" s="319"/>
      <c r="G208" s="324"/>
      <c r="H208" s="324"/>
      <c r="I208" s="324"/>
      <c r="J208" s="324"/>
      <c r="K208" s="324" t="s">
        <v>183</v>
      </c>
      <c r="L208" s="1004" t="s">
        <v>162</v>
      </c>
      <c r="M208" s="1004"/>
      <c r="N208" s="189"/>
      <c r="O208" s="205"/>
      <c r="P208" s="180"/>
      <c r="Q208" s="180"/>
    </row>
    <row r="209" spans="1:17" ht="25" customHeight="1">
      <c r="B209" s="134" t="s">
        <v>186</v>
      </c>
      <c r="C209" s="318" t="s">
        <v>187</v>
      </c>
      <c r="D209" s="318"/>
      <c r="E209" s="30" t="s">
        <v>188</v>
      </c>
      <c r="F209" s="316"/>
      <c r="G209" s="318"/>
      <c r="H209" s="318"/>
      <c r="I209" s="318"/>
      <c r="J209" s="318"/>
      <c r="K209" s="318" t="s">
        <v>183</v>
      </c>
      <c r="L209" s="1005" t="s">
        <v>162</v>
      </c>
      <c r="M209" s="1005"/>
      <c r="N209" s="189"/>
      <c r="O209" s="205"/>
      <c r="P209" s="180"/>
      <c r="Q209" s="180"/>
    </row>
    <row r="210" spans="1:17" ht="25" customHeight="1">
      <c r="B210" s="137" t="s">
        <v>189</v>
      </c>
      <c r="C210" s="324" t="s">
        <v>187</v>
      </c>
      <c r="D210" s="324"/>
      <c r="E210" s="38" t="s">
        <v>190</v>
      </c>
      <c r="F210" s="319"/>
      <c r="G210" s="324"/>
      <c r="H210" s="324"/>
      <c r="I210" s="324"/>
      <c r="J210" s="324"/>
      <c r="K210" s="324" t="s">
        <v>183</v>
      </c>
      <c r="L210" s="1006" t="s">
        <v>162</v>
      </c>
      <c r="M210" s="1006"/>
      <c r="N210" s="189"/>
      <c r="O210" s="205"/>
      <c r="P210" s="180"/>
      <c r="Q210" s="180"/>
    </row>
    <row r="211" spans="1:17" ht="25" customHeight="1">
      <c r="B211" s="106"/>
      <c r="C211" s="103"/>
      <c r="D211" s="103"/>
      <c r="E211" s="105"/>
      <c r="F211" s="330"/>
      <c r="G211" s="331"/>
      <c r="H211" s="331"/>
      <c r="I211" s="333"/>
      <c r="J211" s="333"/>
      <c r="K211" s="333"/>
      <c r="L211" s="333"/>
      <c r="M211" s="584"/>
      <c r="N211" s="189"/>
      <c r="O211" s="205"/>
      <c r="P211" s="180"/>
      <c r="Q211" s="180"/>
    </row>
    <row r="212" spans="1:17" ht="25" customHeight="1">
      <c r="B212" s="417"/>
      <c r="C212" s="26"/>
      <c r="D212" s="26"/>
      <c r="E212" s="26"/>
      <c r="F212" s="304"/>
      <c r="G212" s="305"/>
      <c r="H212" s="281"/>
      <c r="I212" s="281"/>
      <c r="J212" s="281"/>
      <c r="K212" s="306"/>
      <c r="L212" s="284"/>
      <c r="M212" s="580"/>
      <c r="N212" s="189"/>
      <c r="O212" s="205"/>
      <c r="P212" s="180"/>
      <c r="Q212" s="180"/>
    </row>
    <row r="213" spans="1:17" ht="25" customHeight="1">
      <c r="A213" s="336"/>
      <c r="B213" s="66"/>
      <c r="C213" s="60"/>
      <c r="D213" s="60"/>
      <c r="E213" s="60"/>
      <c r="F213" s="337"/>
      <c r="G213" s="338"/>
      <c r="H213" s="339"/>
      <c r="I213" s="339"/>
      <c r="J213" s="339"/>
      <c r="K213" s="340"/>
      <c r="L213" s="341"/>
      <c r="M213" s="585"/>
      <c r="N213" s="342"/>
      <c r="O213" s="205"/>
      <c r="P213" s="180"/>
      <c r="Q213" s="180"/>
    </row>
    <row r="214" spans="1:17" s="169" customFormat="1" ht="25" customHeight="1">
      <c r="A214" s="162"/>
      <c r="B214" s="54"/>
      <c r="C214" s="54"/>
      <c r="D214" s="54"/>
      <c r="E214" s="54"/>
      <c r="F214" s="343"/>
      <c r="G214" s="344"/>
      <c r="H214" s="345"/>
      <c r="I214" s="345"/>
      <c r="J214" s="346"/>
      <c r="K214" s="347"/>
      <c r="L214" s="347"/>
      <c r="M214" s="586"/>
      <c r="N214" s="162"/>
      <c r="O214" s="168"/>
    </row>
    <row r="215" spans="1:17" s="169" customFormat="1" ht="25" customHeight="1">
      <c r="A215" s="162"/>
      <c r="B215" s="54"/>
      <c r="C215" s="54"/>
      <c r="D215" s="54"/>
      <c r="E215" s="54"/>
      <c r="F215" s="343"/>
      <c r="G215" s="344"/>
      <c r="H215" s="345"/>
      <c r="I215" s="345"/>
      <c r="J215" s="346"/>
      <c r="K215" s="347"/>
      <c r="L215" s="347"/>
      <c r="M215" s="586"/>
      <c r="N215" s="162"/>
      <c r="O215" s="168"/>
    </row>
    <row r="216" spans="1:17" s="169" customFormat="1" ht="25" customHeight="1">
      <c r="A216" s="162"/>
      <c r="B216" s="54"/>
      <c r="C216" s="54"/>
      <c r="D216" s="54"/>
      <c r="E216" s="54"/>
      <c r="F216" s="343"/>
      <c r="G216" s="344"/>
      <c r="H216" s="345"/>
      <c r="I216" s="345"/>
      <c r="J216" s="346"/>
      <c r="K216" s="347"/>
      <c r="L216" s="347"/>
      <c r="M216" s="586"/>
      <c r="N216" s="162"/>
      <c r="O216" s="168"/>
    </row>
    <row r="217" spans="1:17" s="169" customFormat="1" ht="25" customHeight="1">
      <c r="A217" s="162"/>
      <c r="B217" s="997" t="s">
        <v>191</v>
      </c>
      <c r="C217" s="997"/>
      <c r="D217" s="997"/>
      <c r="E217" s="997"/>
      <c r="F217" s="997"/>
      <c r="G217" s="997"/>
      <c r="H217" s="165"/>
      <c r="I217" s="162"/>
      <c r="J217" s="166"/>
      <c r="K217" s="162"/>
      <c r="L217" s="167"/>
      <c r="M217" s="565"/>
      <c r="N217" s="162"/>
      <c r="O217" s="168"/>
    </row>
    <row r="218" spans="1:17" s="169" customFormat="1" ht="25" customHeight="1">
      <c r="A218" s="162"/>
      <c r="B218" s="997"/>
      <c r="C218" s="997"/>
      <c r="D218" s="997"/>
      <c r="E218" s="997"/>
      <c r="F218" s="997"/>
      <c r="G218" s="997"/>
      <c r="H218" s="165"/>
      <c r="I218" s="162"/>
      <c r="J218" s="166"/>
      <c r="K218" s="162"/>
      <c r="L218" s="167"/>
      <c r="M218" s="565"/>
      <c r="N218" s="162"/>
      <c r="O218" s="168"/>
    </row>
    <row r="219" spans="1:17" s="169" customFormat="1" ht="25" customHeight="1">
      <c r="A219" s="162"/>
      <c r="B219" s="997"/>
      <c r="C219" s="997"/>
      <c r="D219" s="997"/>
      <c r="E219" s="997"/>
      <c r="F219" s="997"/>
      <c r="G219" s="997"/>
      <c r="H219" s="165"/>
      <c r="I219" s="162"/>
      <c r="J219" s="166"/>
      <c r="K219" s="162"/>
      <c r="L219" s="167"/>
      <c r="M219" s="565"/>
      <c r="N219" s="162"/>
      <c r="O219" s="168"/>
    </row>
    <row r="220" spans="1:17" s="169" customFormat="1" ht="25" customHeight="1">
      <c r="A220" s="162"/>
      <c r="B220" s="998" t="s">
        <v>6</v>
      </c>
      <c r="C220" s="998"/>
      <c r="D220" s="998"/>
      <c r="E220" s="998"/>
      <c r="F220" s="998"/>
      <c r="G220" s="162"/>
      <c r="H220" s="165"/>
      <c r="I220" s="162"/>
      <c r="J220" s="166"/>
      <c r="K220" s="162"/>
      <c r="L220" s="167"/>
      <c r="M220" s="565"/>
      <c r="N220" s="348"/>
      <c r="O220" s="187"/>
    </row>
    <row r="221" spans="1:17" s="169" customFormat="1" ht="25" customHeight="1">
      <c r="A221" s="162"/>
      <c r="B221" s="62"/>
      <c r="C221" s="62"/>
      <c r="D221" s="62"/>
      <c r="E221" s="62"/>
      <c r="F221" s="163"/>
      <c r="G221" s="162"/>
      <c r="H221" s="165"/>
      <c r="I221" s="162"/>
      <c r="J221" s="166"/>
      <c r="K221" s="162"/>
      <c r="L221" s="167"/>
      <c r="M221" s="565"/>
      <c r="N221" s="348"/>
      <c r="O221" s="187"/>
    </row>
    <row r="222" spans="1:17" s="169" customFormat="1" ht="25" customHeight="1">
      <c r="A222" s="162"/>
      <c r="B222" s="422" t="s">
        <v>192</v>
      </c>
      <c r="C222" s="62"/>
      <c r="D222" s="62"/>
      <c r="E222" s="62"/>
      <c r="F222" s="163"/>
      <c r="G222" s="162"/>
      <c r="H222" s="165"/>
      <c r="I222" s="162"/>
      <c r="J222" s="166"/>
      <c r="K222" s="162"/>
      <c r="L222" s="167"/>
      <c r="M222" s="565"/>
      <c r="N222" s="348"/>
      <c r="O222" s="187"/>
    </row>
    <row r="223" spans="1:17" s="169" customFormat="1" ht="25" customHeight="1">
      <c r="A223" s="162"/>
      <c r="B223" s="418" t="s">
        <v>2</v>
      </c>
      <c r="C223" s="62"/>
      <c r="D223" s="62"/>
      <c r="E223" s="62"/>
      <c r="F223" s="163"/>
      <c r="G223" s="162"/>
      <c r="H223" s="165"/>
      <c r="I223" s="162"/>
      <c r="J223" s="166"/>
      <c r="K223" s="162"/>
      <c r="L223" s="167"/>
      <c r="M223" s="565"/>
      <c r="N223" s="348"/>
      <c r="O223" s="187"/>
    </row>
    <row r="224" spans="1:17" s="169" customFormat="1" ht="25" customHeight="1">
      <c r="A224" s="162"/>
      <c r="B224" s="69" t="s">
        <v>193</v>
      </c>
      <c r="C224" s="67"/>
      <c r="D224" s="67"/>
      <c r="E224" s="67"/>
      <c r="F224" s="349"/>
      <c r="G224" s="348"/>
      <c r="H224" s="350"/>
      <c r="I224" s="348"/>
      <c r="J224" s="352"/>
      <c r="K224" s="348"/>
      <c r="L224" s="353"/>
      <c r="M224" s="587"/>
      <c r="N224" s="348"/>
      <c r="O224" s="187"/>
    </row>
    <row r="225" spans="1:22" s="242" customFormat="1" ht="25" customHeight="1">
      <c r="A225" s="354"/>
      <c r="B225" s="135"/>
      <c r="C225" s="135"/>
      <c r="D225" s="135"/>
      <c r="E225" s="135"/>
      <c r="F225" s="541"/>
      <c r="G225" s="348"/>
      <c r="H225" s="350"/>
      <c r="I225" s="348"/>
      <c r="J225" s="352"/>
      <c r="K225" s="348"/>
      <c r="L225" s="353"/>
      <c r="M225" s="587"/>
      <c r="N225" s="354"/>
      <c r="O225" s="296"/>
      <c r="P225" s="355"/>
      <c r="Q225" s="268"/>
      <c r="R225" s="268"/>
      <c r="S225" s="268"/>
      <c r="T225" s="268"/>
      <c r="U225" s="268"/>
      <c r="V225" s="268"/>
    </row>
    <row r="226" spans="1:22" ht="25" customHeight="1">
      <c r="A226" s="157"/>
      <c r="B226" s="55" t="s">
        <v>194</v>
      </c>
      <c r="C226" s="56"/>
      <c r="D226" s="57"/>
      <c r="E226" s="56"/>
      <c r="F226" s="357"/>
      <c r="G226" s="357"/>
      <c r="H226" s="357"/>
      <c r="I226" s="357"/>
      <c r="J226" s="356"/>
      <c r="K226" s="356"/>
      <c r="L226" s="357" t="s">
        <v>195</v>
      </c>
      <c r="M226" s="588"/>
      <c r="N226" s="359"/>
      <c r="O226" s="160"/>
      <c r="P226" s="313"/>
    </row>
    <row r="227" spans="1:22" ht="25" customHeight="1">
      <c r="A227" s="157"/>
      <c r="B227" s="549" t="s">
        <v>196</v>
      </c>
      <c r="C227" s="595" t="str">
        <f>SUM(C38+C67)&amp;" vCPU"</f>
        <v>0 vCPU</v>
      </c>
      <c r="D227" s="595" t="str">
        <f>SUM(D38+D67)&amp;" GB RAM"</f>
        <v>0 GB RAM</v>
      </c>
      <c r="E227" s="595" t="str">
        <f>SUM(E38)&amp;" GB  Disk"</f>
        <v>0 GB  Disk</v>
      </c>
      <c r="F227" s="999" t="str">
        <f>SUM(E67)&amp;" GB NVME-Disk"</f>
        <v>0 GB NVME-Disk</v>
      </c>
      <c r="G227" s="999"/>
      <c r="H227" s="361"/>
      <c r="I227" s="361"/>
      <c r="J227" s="362"/>
      <c r="K227" s="362"/>
      <c r="L227" s="419">
        <f>L76+L84+K67+K38+K91</f>
        <v>0</v>
      </c>
      <c r="M227" s="589"/>
      <c r="N227" s="157"/>
      <c r="O227" s="160"/>
      <c r="P227" s="313"/>
    </row>
    <row r="228" spans="1:22" ht="25" customHeight="1">
      <c r="A228" s="157"/>
      <c r="B228" s="550" t="s">
        <v>197</v>
      </c>
      <c r="C228" s="73"/>
      <c r="D228" s="72"/>
      <c r="E228" s="73"/>
      <c r="F228" s="364"/>
      <c r="G228" s="365"/>
      <c r="H228" s="365"/>
      <c r="I228" s="365"/>
      <c r="J228" s="366"/>
      <c r="K228" s="366"/>
      <c r="L228" s="420" t="e">
        <f>#REF!</f>
        <v>#REF!</v>
      </c>
      <c r="M228" s="589"/>
      <c r="N228" s="157"/>
      <c r="O228" s="160"/>
      <c r="P228" s="313"/>
    </row>
    <row r="229" spans="1:22" ht="25" customHeight="1">
      <c r="A229" s="157"/>
      <c r="B229" s="136" t="s">
        <v>198</v>
      </c>
      <c r="C229" s="136"/>
      <c r="D229" s="72"/>
      <c r="E229" s="73"/>
      <c r="F229" s="364"/>
      <c r="G229" s="365"/>
      <c r="H229" s="365"/>
      <c r="I229" s="365"/>
      <c r="J229" s="366"/>
      <c r="K229" s="366"/>
      <c r="L229" s="420">
        <f>M133</f>
        <v>0</v>
      </c>
      <c r="M229" s="589"/>
      <c r="N229" s="157"/>
      <c r="O229" s="160"/>
      <c r="P229" s="313"/>
    </row>
    <row r="230" spans="1:22" s="370" customFormat="1" ht="25" customHeight="1">
      <c r="A230" s="368"/>
      <c r="B230" s="476" t="s">
        <v>410</v>
      </c>
      <c r="C230" s="476"/>
      <c r="D230" s="33"/>
      <c r="E230" s="34"/>
      <c r="F230" s="311"/>
      <c r="G230" s="544"/>
      <c r="H230" s="544"/>
      <c r="I230" s="544"/>
      <c r="J230" s="299"/>
      <c r="K230" s="299"/>
      <c r="L230" s="414" t="e">
        <f>M76+M84+#REF!+#REF!</f>
        <v>#REF!</v>
      </c>
      <c r="M230" s="589"/>
      <c r="N230" s="368"/>
      <c r="O230" s="369"/>
    </row>
    <row r="231" spans="1:22" ht="25" customHeight="1">
      <c r="A231" s="157"/>
      <c r="B231" s="421" t="s">
        <v>30</v>
      </c>
      <c r="C231" s="59"/>
      <c r="D231" s="59"/>
      <c r="E231" s="59"/>
      <c r="F231" s="371"/>
      <c r="G231" s="372"/>
      <c r="H231" s="372"/>
      <c r="I231" s="372"/>
      <c r="J231" s="563"/>
      <c r="K231" s="563"/>
      <c r="L231" s="563" t="e">
        <f>SUM(L227:L230)</f>
        <v>#REF!</v>
      </c>
      <c r="M231" s="590"/>
      <c r="N231" s="157"/>
      <c r="O231" s="160"/>
    </row>
    <row r="232" spans="1:22" ht="25" customHeight="1">
      <c r="A232" s="157"/>
      <c r="B232" s="58"/>
      <c r="C232" s="59"/>
      <c r="D232" s="59"/>
      <c r="E232" s="59"/>
      <c r="F232" s="371"/>
      <c r="G232" s="372"/>
      <c r="H232" s="372"/>
      <c r="I232" s="372"/>
      <c r="J232" s="373"/>
      <c r="K232" s="373"/>
      <c r="L232" s="373"/>
      <c r="M232" s="590"/>
      <c r="N232" s="157"/>
      <c r="O232" s="160"/>
    </row>
    <row r="233" spans="1:22" ht="25" customHeight="1">
      <c r="A233" s="157"/>
      <c r="B233" s="30"/>
      <c r="C233" s="30"/>
      <c r="D233" s="36"/>
      <c r="E233" s="37"/>
      <c r="F233" s="317"/>
      <c r="G233" s="542"/>
      <c r="H233" s="316"/>
      <c r="I233" s="272"/>
      <c r="J233" s="272"/>
      <c r="K233" s="375"/>
      <c r="L233" s="274"/>
      <c r="M233" s="589"/>
      <c r="N233" s="157"/>
      <c r="O233" s="160"/>
    </row>
    <row r="234" spans="1:22" ht="25" customHeight="1">
      <c r="A234" s="376"/>
      <c r="B234" s="42"/>
      <c r="C234" s="42"/>
      <c r="D234" s="33"/>
      <c r="E234" s="34"/>
      <c r="F234" s="378"/>
      <c r="G234" s="544"/>
      <c r="H234" s="377"/>
      <c r="I234" s="299"/>
      <c r="J234" s="299"/>
      <c r="K234" s="380"/>
      <c r="L234" s="301"/>
      <c r="M234" s="591"/>
      <c r="N234" s="381"/>
      <c r="O234" s="160"/>
    </row>
    <row r="235" spans="1:22" s="382" customFormat="1" ht="25" customHeight="1">
      <c r="B235" s="108"/>
      <c r="C235" s="108"/>
      <c r="D235" s="109"/>
      <c r="E235" s="110"/>
      <c r="F235" s="384"/>
      <c r="G235" s="385"/>
      <c r="H235" s="383"/>
      <c r="I235" s="386"/>
      <c r="J235" s="386"/>
      <c r="K235" s="388"/>
      <c r="L235" s="389"/>
      <c r="M235" s="592"/>
    </row>
    <row r="236" spans="1:22" s="382" customFormat="1" ht="25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592"/>
      <c r="N236" s="389"/>
    </row>
    <row r="237" spans="1:22" s="382" customFormat="1" ht="25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592"/>
      <c r="N237" s="389"/>
    </row>
    <row r="238" spans="1:22" s="382" customFormat="1" ht="25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592"/>
      <c r="N238" s="389"/>
    </row>
    <row r="239" spans="1:22" s="382" customFormat="1" ht="25" customHeight="1"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592"/>
      <c r="N239" s="389"/>
    </row>
    <row r="240" spans="1:22" s="382" customFormat="1" ht="25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592"/>
      <c r="N240" s="389"/>
    </row>
    <row r="241" spans="1:23" s="382" customFormat="1" ht="25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592"/>
      <c r="N241" s="389"/>
    </row>
    <row r="242" spans="1:23" s="382" customFormat="1" ht="25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592"/>
      <c r="N242" s="389"/>
    </row>
    <row r="243" spans="1:23" s="382" customFormat="1" ht="25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592"/>
      <c r="N243" s="389"/>
    </row>
    <row r="244" spans="1:23" s="382" customFormat="1" ht="25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592"/>
      <c r="N244" s="389"/>
    </row>
    <row r="245" spans="1:23" s="394" customFormat="1" ht="25" customHeight="1">
      <c r="A245" s="382"/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592"/>
      <c r="N245" s="389"/>
      <c r="O245" s="382"/>
      <c r="P245" s="382"/>
      <c r="Q245" s="382"/>
      <c r="R245" s="382"/>
      <c r="S245" s="382"/>
      <c r="T245" s="382"/>
      <c r="U245" s="382"/>
      <c r="V245" s="382"/>
      <c r="W245" s="382"/>
    </row>
    <row r="246" spans="1:23" s="382" customFormat="1" ht="25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592"/>
      <c r="N246" s="389"/>
    </row>
    <row r="247" spans="1:23" s="382" customFormat="1" ht="25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592"/>
      <c r="N247" s="389"/>
    </row>
    <row r="248" spans="1:23" s="382" customFormat="1" ht="25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592"/>
      <c r="N248" s="389"/>
    </row>
    <row r="249" spans="1:23" s="382" customFormat="1" ht="25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592"/>
      <c r="N249" s="389"/>
    </row>
    <row r="250" spans="1:23" s="382" customFormat="1" ht="25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592"/>
      <c r="N250" s="389"/>
    </row>
    <row r="251" spans="1:23" s="382" customFormat="1" ht="25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592"/>
      <c r="N251" s="389"/>
    </row>
    <row r="252" spans="1:23" s="382" customFormat="1" ht="25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592"/>
      <c r="N252" s="389"/>
    </row>
    <row r="253" spans="1:23" s="382" customFormat="1" ht="25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592"/>
      <c r="N253" s="389"/>
    </row>
    <row r="254" spans="1:23" s="382" customFormat="1" ht="2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592"/>
      <c r="N254" s="389"/>
    </row>
    <row r="255" spans="1:23" s="382" customFormat="1" ht="2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592"/>
      <c r="N255" s="389"/>
    </row>
    <row r="256" spans="1:23" s="382" customFormat="1" ht="2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592"/>
      <c r="N256" s="389"/>
    </row>
    <row r="257" spans="2:14" s="382" customFormat="1" ht="2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592"/>
      <c r="N257" s="389"/>
    </row>
    <row r="258" spans="2:14" s="382" customFormat="1" ht="2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592"/>
      <c r="N258" s="389"/>
    </row>
    <row r="259" spans="2:14" s="382" customFormat="1" ht="25" customHeight="1">
      <c r="B259" s="108"/>
      <c r="C259" s="108"/>
      <c r="D259" s="108"/>
      <c r="E259" s="108"/>
      <c r="F259" s="390"/>
      <c r="G259" s="391"/>
      <c r="H259" s="392"/>
      <c r="I259" s="392"/>
      <c r="J259" s="392"/>
      <c r="K259" s="393"/>
      <c r="L259" s="389"/>
      <c r="M259" s="592"/>
      <c r="N259" s="389"/>
    </row>
    <row r="260" spans="2:14" s="382" customFormat="1" ht="25" customHeight="1">
      <c r="B260" s="108"/>
      <c r="C260" s="108"/>
      <c r="D260" s="108"/>
      <c r="E260" s="108"/>
      <c r="F260" s="390"/>
      <c r="G260" s="391"/>
      <c r="H260" s="392"/>
      <c r="I260" s="392"/>
      <c r="J260" s="392"/>
      <c r="K260" s="393"/>
      <c r="L260" s="389"/>
      <c r="M260" s="592"/>
      <c r="N260" s="389"/>
    </row>
    <row r="261" spans="2:14" s="382" customFormat="1" ht="25" customHeight="1">
      <c r="B261" s="108"/>
      <c r="C261" s="108"/>
      <c r="D261" s="108"/>
      <c r="E261" s="108"/>
      <c r="F261" s="390"/>
      <c r="G261" s="391"/>
      <c r="H261" s="392"/>
      <c r="I261" s="392"/>
      <c r="J261" s="392"/>
      <c r="K261" s="393"/>
      <c r="L261" s="389"/>
      <c r="M261" s="592"/>
      <c r="N261" s="389"/>
    </row>
    <row r="262" spans="2:14" s="382" customFormat="1" ht="25" customHeight="1">
      <c r="B262" s="108"/>
      <c r="C262" s="108"/>
      <c r="D262" s="108"/>
      <c r="E262" s="108"/>
      <c r="F262" s="390"/>
      <c r="G262" s="391"/>
      <c r="H262" s="392"/>
      <c r="I262" s="392"/>
      <c r="J262" s="392"/>
      <c r="K262" s="393"/>
      <c r="L262" s="389"/>
      <c r="M262" s="592"/>
      <c r="N262" s="389"/>
    </row>
    <row r="263" spans="2:14" s="382" customFormat="1" ht="25" customHeight="1">
      <c r="B263" s="108"/>
      <c r="C263" s="108"/>
      <c r="D263" s="108"/>
      <c r="E263" s="108"/>
      <c r="F263" s="390"/>
      <c r="G263" s="391"/>
      <c r="H263" s="392"/>
      <c r="I263" s="392"/>
      <c r="J263" s="392"/>
      <c r="K263" s="393"/>
      <c r="L263" s="389"/>
      <c r="M263" s="592"/>
      <c r="N263" s="389"/>
    </row>
    <row r="264" spans="2:14" s="382" customFormat="1" ht="25" customHeight="1">
      <c r="B264" s="108"/>
      <c r="C264" s="108"/>
      <c r="D264" s="108"/>
      <c r="E264" s="108"/>
      <c r="F264" s="390"/>
      <c r="G264" s="391"/>
      <c r="H264" s="392"/>
      <c r="I264" s="392"/>
      <c r="J264" s="392"/>
      <c r="K264" s="393"/>
      <c r="L264" s="389"/>
      <c r="M264" s="592"/>
      <c r="N264" s="389"/>
    </row>
    <row r="265" spans="2:14" s="382" customFormat="1" ht="25" customHeight="1">
      <c r="B265" s="111"/>
      <c r="C265" s="112"/>
      <c r="D265" s="112"/>
      <c r="E265" s="112"/>
      <c r="K265" s="393"/>
      <c r="M265" s="593"/>
    </row>
    <row r="266" spans="2:14" s="382" customFormat="1" ht="25" customHeight="1">
      <c r="B266" s="111"/>
      <c r="C266" s="112"/>
      <c r="D266" s="112"/>
      <c r="E266" s="112"/>
      <c r="K266" s="393"/>
      <c r="M266" s="593"/>
    </row>
    <row r="267" spans="2:14" s="382" customFormat="1" ht="25" customHeight="1">
      <c r="B267" s="111"/>
      <c r="C267" s="112"/>
      <c r="D267" s="112"/>
      <c r="E267" s="112"/>
      <c r="K267" s="393"/>
      <c r="M267" s="593"/>
    </row>
    <row r="268" spans="2:14" s="382" customFormat="1" ht="25" customHeight="1">
      <c r="B268" s="111"/>
      <c r="C268" s="112"/>
      <c r="D268" s="112"/>
      <c r="E268" s="112"/>
      <c r="K268" s="393"/>
      <c r="M268" s="593"/>
    </row>
    <row r="269" spans="2:14" s="382" customFormat="1" ht="25" customHeight="1">
      <c r="B269" s="111"/>
      <c r="C269" s="112"/>
      <c r="D269" s="112"/>
      <c r="E269" s="112"/>
      <c r="K269" s="393"/>
      <c r="M269" s="593"/>
    </row>
    <row r="270" spans="2:14" s="382" customFormat="1" ht="25" customHeight="1">
      <c r="B270" s="111"/>
      <c r="C270" s="112"/>
      <c r="D270" s="112"/>
      <c r="E270" s="112"/>
      <c r="K270" s="393"/>
      <c r="M270" s="593"/>
    </row>
    <row r="271" spans="2:14" s="382" customFormat="1" ht="25" customHeight="1">
      <c r="B271" s="111"/>
      <c r="C271" s="112"/>
      <c r="D271" s="112"/>
      <c r="E271" s="112"/>
      <c r="K271" s="393"/>
      <c r="M271" s="593"/>
    </row>
    <row r="272" spans="2:14" s="382" customFormat="1" ht="25" customHeight="1">
      <c r="B272" s="111"/>
      <c r="C272" s="112"/>
      <c r="D272" s="112"/>
      <c r="E272" s="112"/>
      <c r="K272" s="393"/>
      <c r="M272" s="593"/>
    </row>
    <row r="273" spans="2:13" s="382" customFormat="1" ht="25" customHeight="1">
      <c r="B273" s="111"/>
      <c r="C273" s="112"/>
      <c r="D273" s="112"/>
      <c r="E273" s="112"/>
      <c r="K273" s="393"/>
      <c r="M273" s="593"/>
    </row>
    <row r="274" spans="2:13" s="382" customFormat="1" ht="25" customHeight="1">
      <c r="B274" s="111"/>
      <c r="C274" s="112"/>
      <c r="D274" s="112"/>
      <c r="E274" s="112"/>
      <c r="K274" s="393"/>
      <c r="M274" s="593"/>
    </row>
    <row r="275" spans="2:13" s="382" customFormat="1" ht="25" customHeight="1">
      <c r="B275" s="111"/>
      <c r="C275" s="112"/>
      <c r="D275" s="112"/>
      <c r="E275" s="112"/>
      <c r="K275" s="393"/>
      <c r="M275" s="593"/>
    </row>
    <row r="276" spans="2:13" s="382" customFormat="1" ht="25" customHeight="1">
      <c r="B276" s="111"/>
      <c r="C276" s="112"/>
      <c r="D276" s="112"/>
      <c r="E276" s="112"/>
      <c r="K276" s="393"/>
      <c r="M276" s="593"/>
    </row>
    <row r="277" spans="2:13" s="382" customFormat="1" ht="25" customHeight="1">
      <c r="B277" s="111"/>
      <c r="C277" s="112"/>
      <c r="D277" s="112"/>
      <c r="E277" s="112"/>
      <c r="K277" s="393"/>
      <c r="M277" s="593"/>
    </row>
    <row r="278" spans="2:13" s="382" customFormat="1" ht="25" customHeight="1">
      <c r="B278" s="111"/>
      <c r="C278" s="112"/>
      <c r="D278" s="112"/>
      <c r="E278" s="112"/>
      <c r="K278" s="393"/>
      <c r="M278" s="593"/>
    </row>
    <row r="279" spans="2:13" s="382" customFormat="1" ht="25" customHeight="1">
      <c r="B279" s="111"/>
      <c r="C279" s="112"/>
      <c r="D279" s="112"/>
      <c r="E279" s="112"/>
      <c r="K279" s="393"/>
      <c r="M279" s="593"/>
    </row>
    <row r="280" spans="2:13" s="382" customFormat="1" ht="25" customHeight="1">
      <c r="B280" s="111"/>
      <c r="C280" s="112"/>
      <c r="D280" s="112"/>
      <c r="E280" s="112"/>
      <c r="K280" s="393"/>
      <c r="M280" s="593"/>
    </row>
    <row r="281" spans="2:13" s="382" customFormat="1" ht="25" customHeight="1">
      <c r="B281" s="111"/>
      <c r="C281" s="112"/>
      <c r="D281" s="112"/>
      <c r="E281" s="112"/>
      <c r="K281" s="393"/>
      <c r="M281" s="593"/>
    </row>
    <row r="282" spans="2:13" s="382" customFormat="1" ht="25" customHeight="1">
      <c r="B282" s="111"/>
      <c r="C282" s="112"/>
      <c r="D282" s="112"/>
      <c r="E282" s="112"/>
      <c r="K282" s="393"/>
      <c r="M282" s="593"/>
    </row>
    <row r="283" spans="2:13" s="382" customFormat="1" ht="25" customHeight="1">
      <c r="B283" s="111"/>
      <c r="C283" s="112"/>
      <c r="D283" s="112"/>
      <c r="E283" s="112"/>
      <c r="K283" s="393"/>
      <c r="M283" s="593"/>
    </row>
    <row r="284" spans="2:13" s="382" customFormat="1" ht="25" customHeight="1">
      <c r="B284" s="111"/>
      <c r="C284" s="112"/>
      <c r="D284" s="112"/>
      <c r="E284" s="112"/>
      <c r="K284" s="393"/>
      <c r="M284" s="593"/>
    </row>
    <row r="285" spans="2:13" s="382" customFormat="1" ht="25" customHeight="1">
      <c r="B285" s="111"/>
      <c r="C285" s="112"/>
      <c r="D285" s="112"/>
      <c r="E285" s="112"/>
      <c r="K285" s="393"/>
      <c r="M285" s="593"/>
    </row>
    <row r="286" spans="2:13" s="382" customFormat="1" ht="25" customHeight="1">
      <c r="B286" s="111"/>
      <c r="C286" s="112"/>
      <c r="D286" s="112"/>
      <c r="E286" s="112"/>
      <c r="K286" s="393"/>
      <c r="M286" s="593"/>
    </row>
    <row r="287" spans="2:13" s="382" customFormat="1" ht="25" customHeight="1">
      <c r="B287" s="111"/>
      <c r="C287" s="112"/>
      <c r="D287" s="112"/>
      <c r="E287" s="112"/>
      <c r="K287" s="393"/>
      <c r="M287" s="593"/>
    </row>
    <row r="288" spans="2:13" s="382" customFormat="1" ht="25" customHeight="1">
      <c r="B288" s="111"/>
      <c r="C288" s="112"/>
      <c r="D288" s="112"/>
      <c r="E288" s="112"/>
      <c r="K288" s="393"/>
      <c r="M288" s="593"/>
    </row>
    <row r="289" spans="2:13" s="382" customFormat="1" ht="25" customHeight="1">
      <c r="B289" s="111"/>
      <c r="C289" s="112"/>
      <c r="D289" s="112"/>
      <c r="E289" s="112"/>
      <c r="K289" s="393"/>
      <c r="M289" s="593"/>
    </row>
    <row r="290" spans="2:13" s="382" customFormat="1" ht="25" customHeight="1">
      <c r="B290" s="111"/>
      <c r="C290" s="112"/>
      <c r="D290" s="112"/>
      <c r="E290" s="112"/>
      <c r="K290" s="393"/>
      <c r="M290" s="593"/>
    </row>
    <row r="291" spans="2:13" s="382" customFormat="1" ht="25" customHeight="1">
      <c r="B291" s="111"/>
      <c r="C291" s="112"/>
      <c r="D291" s="112"/>
      <c r="E291" s="112"/>
      <c r="K291" s="393"/>
      <c r="M291" s="593"/>
    </row>
    <row r="292" spans="2:13" s="382" customFormat="1" ht="25" customHeight="1">
      <c r="B292" s="111"/>
      <c r="C292" s="112"/>
      <c r="D292" s="112"/>
      <c r="E292" s="112"/>
      <c r="K292" s="393"/>
      <c r="M292" s="593"/>
    </row>
    <row r="293" spans="2:13" s="382" customFormat="1" ht="25" customHeight="1">
      <c r="B293" s="111"/>
      <c r="C293" s="112"/>
      <c r="D293" s="112"/>
      <c r="E293" s="112"/>
      <c r="K293" s="393"/>
      <c r="M293" s="593"/>
    </row>
    <row r="294" spans="2:13" s="382" customFormat="1" ht="25" customHeight="1">
      <c r="B294" s="111"/>
      <c r="C294" s="112"/>
      <c r="D294" s="112"/>
      <c r="E294" s="112"/>
      <c r="K294" s="393"/>
      <c r="M294" s="593"/>
    </row>
    <row r="295" spans="2:13" s="382" customFormat="1" ht="25" customHeight="1">
      <c r="B295" s="111"/>
      <c r="C295" s="112"/>
      <c r="D295" s="112"/>
      <c r="E295" s="112"/>
      <c r="K295" s="393"/>
      <c r="M295" s="593"/>
    </row>
    <row r="296" spans="2:13" s="382" customFormat="1" ht="25" customHeight="1">
      <c r="B296" s="111"/>
      <c r="C296" s="112"/>
      <c r="D296" s="112"/>
      <c r="E296" s="112"/>
      <c r="K296" s="393"/>
      <c r="M296" s="593"/>
    </row>
    <row r="297" spans="2:13" s="382" customFormat="1" ht="25" customHeight="1">
      <c r="B297" s="111"/>
      <c r="C297" s="112"/>
      <c r="D297" s="112"/>
      <c r="E297" s="112"/>
      <c r="K297" s="393"/>
      <c r="M297" s="593"/>
    </row>
    <row r="298" spans="2:13" s="382" customFormat="1" ht="25" customHeight="1">
      <c r="B298" s="111"/>
      <c r="C298" s="112"/>
      <c r="D298" s="112"/>
      <c r="E298" s="112"/>
      <c r="K298" s="393"/>
      <c r="M298" s="593"/>
    </row>
    <row r="299" spans="2:13" s="382" customFormat="1" ht="25" customHeight="1">
      <c r="B299" s="111"/>
      <c r="C299" s="112"/>
      <c r="D299" s="112"/>
      <c r="E299" s="112"/>
      <c r="K299" s="393"/>
      <c r="M299" s="593"/>
    </row>
    <row r="300" spans="2:13" s="382" customFormat="1" ht="25" customHeight="1">
      <c r="B300" s="111"/>
      <c r="C300" s="112"/>
      <c r="D300" s="112"/>
      <c r="E300" s="112"/>
      <c r="K300" s="393"/>
      <c r="M300" s="593"/>
    </row>
    <row r="301" spans="2:13" s="382" customFormat="1" ht="25" customHeight="1">
      <c r="B301" s="111"/>
      <c r="C301" s="112"/>
      <c r="D301" s="112"/>
      <c r="E301" s="112"/>
      <c r="K301" s="393"/>
      <c r="M301" s="593"/>
    </row>
    <row r="302" spans="2:13" s="382" customFormat="1" ht="25" customHeight="1">
      <c r="B302" s="111"/>
      <c r="C302" s="112"/>
      <c r="D302" s="112"/>
      <c r="E302" s="112"/>
      <c r="K302" s="393"/>
      <c r="M302" s="593"/>
    </row>
    <row r="303" spans="2:13" s="382" customFormat="1" ht="25" customHeight="1">
      <c r="B303" s="111"/>
      <c r="C303" s="112"/>
      <c r="D303" s="112"/>
      <c r="E303" s="112"/>
      <c r="K303" s="393"/>
      <c r="M303" s="593"/>
    </row>
    <row r="304" spans="2:13" s="382" customFormat="1" ht="25" customHeight="1">
      <c r="B304" s="111"/>
      <c r="C304" s="112"/>
      <c r="D304" s="112"/>
      <c r="E304" s="112"/>
      <c r="K304" s="393"/>
      <c r="M304" s="593"/>
    </row>
    <row r="305" spans="2:13" s="382" customFormat="1" ht="25" customHeight="1">
      <c r="B305" s="111"/>
      <c r="C305" s="112"/>
      <c r="D305" s="112"/>
      <c r="E305" s="112"/>
      <c r="K305" s="393"/>
      <c r="M305" s="593"/>
    </row>
    <row r="306" spans="2:13" s="382" customFormat="1" ht="25" customHeight="1">
      <c r="B306" s="111"/>
      <c r="C306" s="112"/>
      <c r="D306" s="112"/>
      <c r="E306" s="112"/>
      <c r="K306" s="393"/>
      <c r="M306" s="593"/>
    </row>
    <row r="307" spans="2:13" s="382" customFormat="1" ht="25" customHeight="1">
      <c r="B307" s="111"/>
      <c r="C307" s="112"/>
      <c r="D307" s="112"/>
      <c r="E307" s="112"/>
      <c r="K307" s="393"/>
      <c r="M307" s="593"/>
    </row>
    <row r="308" spans="2:13" s="382" customFormat="1" ht="25" customHeight="1">
      <c r="B308" s="111"/>
      <c r="C308" s="112"/>
      <c r="D308" s="112"/>
      <c r="E308" s="112"/>
      <c r="K308" s="393"/>
      <c r="M308" s="593"/>
    </row>
    <row r="309" spans="2:13" s="382" customFormat="1" ht="25" customHeight="1">
      <c r="B309" s="111"/>
      <c r="C309" s="112"/>
      <c r="D309" s="112"/>
      <c r="E309" s="112"/>
      <c r="K309" s="393"/>
      <c r="M309" s="593"/>
    </row>
    <row r="310" spans="2:13" s="382" customFormat="1" ht="25" customHeight="1">
      <c r="B310" s="111"/>
      <c r="C310" s="112"/>
      <c r="D310" s="112"/>
      <c r="E310" s="112"/>
      <c r="K310" s="393"/>
      <c r="M310" s="593"/>
    </row>
    <row r="311" spans="2:13" s="382" customFormat="1" ht="25" customHeight="1">
      <c r="B311" s="111"/>
      <c r="C311" s="112"/>
      <c r="D311" s="112"/>
      <c r="E311" s="112"/>
      <c r="K311" s="393"/>
      <c r="M311" s="593"/>
    </row>
    <row r="312" spans="2:13" s="382" customFormat="1" ht="25" customHeight="1">
      <c r="B312" s="111"/>
      <c r="C312" s="112"/>
      <c r="D312" s="112"/>
      <c r="E312" s="112"/>
      <c r="K312" s="393"/>
      <c r="M312" s="593"/>
    </row>
    <row r="313" spans="2:13" s="382" customFormat="1" ht="25" customHeight="1">
      <c r="B313" s="111"/>
      <c r="C313" s="112"/>
      <c r="D313" s="112"/>
      <c r="E313" s="112"/>
      <c r="K313" s="393"/>
      <c r="M313" s="593"/>
    </row>
    <row r="314" spans="2:13" s="382" customFormat="1" ht="25" customHeight="1">
      <c r="B314" s="111"/>
      <c r="C314" s="112"/>
      <c r="D314" s="112"/>
      <c r="E314" s="112"/>
      <c r="K314" s="393"/>
      <c r="M314" s="593"/>
    </row>
    <row r="315" spans="2:13" s="382" customFormat="1" ht="25" customHeight="1">
      <c r="B315" s="111"/>
      <c r="C315" s="112"/>
      <c r="D315" s="112"/>
      <c r="E315" s="112"/>
      <c r="K315" s="393"/>
      <c r="M315" s="593"/>
    </row>
    <row r="327" spans="2:4" ht="25" customHeight="1">
      <c r="B327" s="38"/>
      <c r="C327" s="38"/>
      <c r="D327" s="96"/>
    </row>
  </sheetData>
  <sheetProtection selectLockedCells="1"/>
  <mergeCells count="144"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</mergeCells>
  <conditionalFormatting sqref="K25:K33 K41 K36:K37 K68 L70:M70 L69">
    <cfRule type="cellIs" dxfId="128" priority="74" operator="greaterThan">
      <formula>0</formula>
    </cfRule>
  </conditionalFormatting>
  <conditionalFormatting sqref="H130 I89:I90 I25:I33 I72:J75 I36:I37">
    <cfRule type="cellIs" dxfId="127" priority="73" operator="greaterThan">
      <formula>0</formula>
    </cfRule>
  </conditionalFormatting>
  <conditionalFormatting sqref="I90">
    <cfRule type="cellIs" dxfId="126" priority="72" operator="greaterThan">
      <formula>0</formula>
    </cfRule>
  </conditionalFormatting>
  <conditionalFormatting sqref="I89">
    <cfRule type="cellIs" dxfId="125" priority="71" operator="greaterThan">
      <formula>0</formula>
    </cfRule>
  </conditionalFormatting>
  <conditionalFormatting sqref="H132 J132">
    <cfRule type="cellIs" dxfId="124" priority="68" operator="greaterThan">
      <formula>0</formula>
    </cfRule>
  </conditionalFormatting>
  <conditionalFormatting sqref="J132">
    <cfRule type="cellIs" dxfId="123" priority="67" operator="greaterThan">
      <formula>0</formula>
    </cfRule>
  </conditionalFormatting>
  <conditionalFormatting sqref="H131 J131">
    <cfRule type="cellIs" dxfId="122" priority="66" operator="greaterThan">
      <formula>0</formula>
    </cfRule>
  </conditionalFormatting>
  <conditionalFormatting sqref="J131">
    <cfRule type="cellIs" dxfId="121" priority="65" operator="greaterThan">
      <formula>0</formula>
    </cfRule>
  </conditionalFormatting>
  <conditionalFormatting sqref="L72:M72 L74:M74">
    <cfRule type="cellIs" dxfId="120" priority="45" operator="greaterThan">
      <formula>0</formula>
    </cfRule>
  </conditionalFormatting>
  <conditionalFormatting sqref="L73:M73 L75:M75">
    <cfRule type="cellIs" dxfId="119" priority="47" operator="greaterThan">
      <formula>0</formula>
    </cfRule>
  </conditionalFormatting>
  <conditionalFormatting sqref="L73:M73 L75:M75">
    <cfRule type="cellIs" dxfId="118" priority="46" operator="greaterThan">
      <formula>0</formula>
    </cfRule>
  </conditionalFormatting>
  <conditionalFormatting sqref="I81:J83">
    <cfRule type="cellIs" dxfId="117" priority="42" operator="greaterThan">
      <formula>0</formula>
    </cfRule>
  </conditionalFormatting>
  <conditionalFormatting sqref="L82:M82 L81">
    <cfRule type="cellIs" dxfId="116" priority="43" operator="greaterThan">
      <formula>0</formula>
    </cfRule>
  </conditionalFormatting>
  <conditionalFormatting sqref="I81:J83">
    <cfRule type="cellIs" dxfId="115" priority="44" operator="lessThan">
      <formula>$J81</formula>
    </cfRule>
  </conditionalFormatting>
  <conditionalFormatting sqref="L83:M83">
    <cfRule type="cellIs" dxfId="114" priority="41" operator="greaterThan">
      <formula>0</formula>
    </cfRule>
  </conditionalFormatting>
  <conditionalFormatting sqref="I72:I75">
    <cfRule type="cellIs" dxfId="113" priority="32" operator="lessThan">
      <formula>$J72</formula>
    </cfRule>
  </conditionalFormatting>
  <conditionalFormatting sqref="L72:M72 L74:M74">
    <cfRule type="cellIs" dxfId="112" priority="22" operator="greaterThan">
      <formula>0</formula>
    </cfRule>
  </conditionalFormatting>
  <conditionalFormatting sqref="I43:I44">
    <cfRule type="cellIs" dxfId="111" priority="30" operator="greaterThan">
      <formula>0</formula>
    </cfRule>
  </conditionalFormatting>
  <conditionalFormatting sqref="K44">
    <cfRule type="cellIs" dxfId="110" priority="29" operator="greaterThan">
      <formula>0</formula>
    </cfRule>
  </conditionalFormatting>
  <conditionalFormatting sqref="K43">
    <cfRule type="cellIs" dxfId="109" priority="28" operator="greaterThan">
      <formula>0</formula>
    </cfRule>
  </conditionalFormatting>
  <conditionalFormatting sqref="K44">
    <cfRule type="cellIs" dxfId="108" priority="27" operator="greaterThan">
      <formula>0</formula>
    </cfRule>
  </conditionalFormatting>
  <conditionalFormatting sqref="K43">
    <cfRule type="cellIs" dxfId="107" priority="26" operator="greaterThan">
      <formula>0</formula>
    </cfRule>
  </conditionalFormatting>
  <conditionalFormatting sqref="L73:M73 L75:M75">
    <cfRule type="cellIs" dxfId="106" priority="24" operator="greaterThan">
      <formula>0</formula>
    </cfRule>
  </conditionalFormatting>
  <conditionalFormatting sqref="L72:M72 L74:M74">
    <cfRule type="cellIs" dxfId="105" priority="23" operator="greaterThan">
      <formula>0</formula>
    </cfRule>
  </conditionalFormatting>
  <conditionalFormatting sqref="K34:K35">
    <cfRule type="cellIs" dxfId="104" priority="21" operator="greaterThan">
      <formula>0</formula>
    </cfRule>
  </conditionalFormatting>
  <conditionalFormatting sqref="I34:I35">
    <cfRule type="cellIs" dxfId="103" priority="20" operator="greaterThan">
      <formula>0</formula>
    </cfRule>
  </conditionalFormatting>
  <conditionalFormatting sqref="K46 K52 K54 K56 K58 K60 K62 K64 K66 K48 K50">
    <cfRule type="cellIs" dxfId="102" priority="9" operator="greaterThan">
      <formula>0</formula>
    </cfRule>
  </conditionalFormatting>
  <conditionalFormatting sqref="K45 K47 K53 K55 K57 K59 K61 K63 K65 K49 K51">
    <cfRule type="cellIs" dxfId="101" priority="8" operator="greaterThan">
      <formula>0</formula>
    </cfRule>
  </conditionalFormatting>
  <conditionalFormatting sqref="I45:I66">
    <cfRule type="cellIs" dxfId="100" priority="12" operator="greaterThan">
      <formula>0</formula>
    </cfRule>
  </conditionalFormatting>
  <conditionalFormatting sqref="K46 K52 K54 K56 K58 K60 K62 K64 K66 K48 K50">
    <cfRule type="cellIs" dxfId="99" priority="11" operator="greaterThan">
      <formula>0</formula>
    </cfRule>
  </conditionalFormatting>
  <conditionalFormatting sqref="K45 K47 K53 K55 K57 K59 K61 K63 K65 K49 K51">
    <cfRule type="cellIs" dxfId="98" priority="10" operator="greaterThan">
      <formula>0</formula>
    </cfRule>
  </conditionalFormatting>
  <conditionalFormatting sqref="M81">
    <cfRule type="cellIs" dxfId="97" priority="6" operator="greaterThan">
      <formula>0</formula>
    </cfRule>
  </conditionalFormatting>
  <conditionalFormatting sqref="I25:I37 I43:I66">
    <cfRule type="cellIs" dxfId="96" priority="151" operator="lessThan">
      <formula>#REF!</formula>
    </cfRule>
  </conditionalFormatting>
  <conditionalFormatting sqref="K110">
    <cfRule type="cellIs" dxfId="95" priority="5" operator="greaterThan">
      <formula>0</formula>
    </cfRule>
  </conditionalFormatting>
  <conditionalFormatting sqref="H103">
    <cfRule type="cellIs" dxfId="94" priority="4" operator="greaterThan">
      <formula>0</formula>
    </cfRule>
  </conditionalFormatting>
  <conditionalFormatting sqref="H103">
    <cfRule type="cellIs" dxfId="93" priority="3" operator="greaterThan">
      <formula>0</formula>
    </cfRule>
  </conditionalFormatting>
  <conditionalFormatting sqref="H112">
    <cfRule type="cellIs" dxfId="92" priority="2" operator="greaterThan">
      <formula>0</formula>
    </cfRule>
  </conditionalFormatting>
  <conditionalFormatting sqref="H112">
    <cfRule type="cellIs" dxfId="91" priority="1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331"/>
  <sheetViews>
    <sheetView showGridLines="0" zoomScaleNormal="100" zoomScaleSheetLayoutView="100" workbookViewId="0">
      <selection activeCell="I81" sqref="I81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65" customWidth="1"/>
    <col min="12" max="12" width="14.83203125" style="1" customWidth="1"/>
    <col min="13" max="13" width="14.83203125" style="852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59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59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59"/>
      <c r="L3" s="669"/>
      <c r="M3" s="670"/>
    </row>
    <row r="4" spans="1:26" ht="25" customHeight="1">
      <c r="A4" s="2"/>
      <c r="B4" s="982"/>
      <c r="C4" s="982"/>
      <c r="D4" s="2"/>
      <c r="E4" s="2"/>
      <c r="F4" s="2"/>
      <c r="G4" s="2"/>
      <c r="H4" s="2"/>
      <c r="I4" s="2"/>
      <c r="J4" s="2"/>
      <c r="K4" s="859"/>
      <c r="L4" s="669"/>
      <c r="M4" s="670"/>
    </row>
    <row r="5" spans="1:26" ht="25" customHeight="1">
      <c r="A5" s="2"/>
      <c r="B5" s="633" t="s">
        <v>673</v>
      </c>
      <c r="C5" s="65"/>
      <c r="D5" s="2"/>
      <c r="E5" s="2"/>
      <c r="F5" s="2"/>
      <c r="G5" s="2"/>
      <c r="H5" s="2"/>
      <c r="I5" s="2"/>
      <c r="J5" s="2"/>
      <c r="K5" s="859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59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59"/>
      <c r="L7" s="669"/>
      <c r="M7" s="670"/>
    </row>
    <row r="8" spans="1:26" ht="25" customHeight="1">
      <c r="A8" s="2"/>
      <c r="B8" s="422" t="s">
        <v>263</v>
      </c>
      <c r="C8" s="61"/>
      <c r="D8" s="68" t="s">
        <v>201</v>
      </c>
      <c r="E8" s="2"/>
      <c r="F8" s="2"/>
      <c r="G8" s="2"/>
      <c r="H8" s="2"/>
      <c r="I8" s="2"/>
      <c r="J8" s="2"/>
      <c r="K8" s="859"/>
      <c r="L8" s="669"/>
      <c r="M8" s="670"/>
    </row>
    <row r="9" spans="1:26" ht="25" customHeight="1">
      <c r="A9" s="2"/>
      <c r="B9" s="418" t="s">
        <v>440</v>
      </c>
      <c r="C9" s="61"/>
      <c r="D9" s="2"/>
      <c r="E9" s="2"/>
      <c r="F9" s="2"/>
      <c r="G9" s="2"/>
      <c r="H9" s="2"/>
      <c r="I9" s="2"/>
      <c r="J9" s="2"/>
      <c r="K9" s="859"/>
      <c r="L9" s="669"/>
      <c r="M9" s="670"/>
    </row>
    <row r="10" spans="1:26" ht="25" customHeight="1">
      <c r="A10" s="2"/>
      <c r="B10" s="964" t="s">
        <v>3</v>
      </c>
      <c r="C10" s="402"/>
      <c r="D10" s="2"/>
      <c r="E10" s="2"/>
      <c r="F10" s="2"/>
      <c r="G10" s="2"/>
      <c r="H10" s="2"/>
      <c r="I10" s="2"/>
      <c r="J10" s="2"/>
      <c r="K10" s="859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60"/>
      <c r="L11" s="673"/>
      <c r="M11" s="674"/>
    </row>
    <row r="12" spans="1:26" s="4" customFormat="1" ht="25" customHeight="1">
      <c r="A12" s="63"/>
      <c r="B12" s="637"/>
      <c r="C12" s="64"/>
      <c r="D12" s="63"/>
      <c r="E12" s="63"/>
      <c r="F12" s="63"/>
      <c r="G12" s="675"/>
      <c r="H12" s="675"/>
      <c r="I12" s="676"/>
      <c r="J12" s="63"/>
      <c r="K12" s="861"/>
      <c r="L12" s="677"/>
      <c r="M12" s="674"/>
    </row>
    <row r="13" spans="1:26" s="4" customFormat="1" ht="25" customHeight="1">
      <c r="B13" s="638"/>
      <c r="G13" s="678"/>
      <c r="H13" s="678"/>
      <c r="I13" s="679"/>
      <c r="K13" s="862"/>
      <c r="L13" s="680"/>
      <c r="M13" s="674"/>
    </row>
    <row r="14" spans="1:26" s="4" customFormat="1" ht="25" customHeight="1">
      <c r="B14" s="638"/>
      <c r="G14" s="678"/>
      <c r="H14" s="678"/>
      <c r="I14" s="679"/>
      <c r="K14" s="862"/>
      <c r="L14" s="680"/>
      <c r="M14" s="674"/>
    </row>
    <row r="15" spans="1:26" s="4" customFormat="1" ht="25" customHeight="1">
      <c r="B15" s="967" t="s">
        <v>668</v>
      </c>
      <c r="C15" s="967"/>
      <c r="D15" s="967"/>
      <c r="E15" s="967"/>
      <c r="F15" s="967"/>
      <c r="G15" s="967"/>
      <c r="H15" s="679"/>
      <c r="J15" s="681"/>
      <c r="K15" s="862"/>
      <c r="L15" s="680"/>
      <c r="M15" s="674"/>
      <c r="S15" s="682"/>
      <c r="X15" s="682"/>
      <c r="Y15" s="682"/>
      <c r="Z15" s="682"/>
    </row>
    <row r="16" spans="1:26" s="4" customFormat="1" ht="25" customHeight="1">
      <c r="B16" s="967"/>
      <c r="C16" s="967"/>
      <c r="D16" s="967"/>
      <c r="E16" s="967"/>
      <c r="F16" s="967"/>
      <c r="G16" s="967"/>
      <c r="H16" s="679"/>
      <c r="J16" s="681"/>
      <c r="K16" s="862"/>
      <c r="L16" s="680"/>
      <c r="M16" s="674"/>
      <c r="S16" s="682"/>
      <c r="X16" s="682"/>
      <c r="Y16" s="682"/>
      <c r="Z16" s="682"/>
    </row>
    <row r="17" spans="2:26" s="4" customFormat="1" ht="25" customHeight="1">
      <c r="B17" s="967"/>
      <c r="C17" s="967"/>
      <c r="D17" s="967"/>
      <c r="E17" s="967"/>
      <c r="F17" s="967"/>
      <c r="G17" s="967"/>
      <c r="H17" s="679"/>
      <c r="J17" s="681"/>
      <c r="K17" s="862"/>
      <c r="L17" s="680"/>
      <c r="M17" s="674"/>
      <c r="S17" s="682"/>
      <c r="X17" s="682"/>
      <c r="Y17" s="682"/>
      <c r="Z17" s="682"/>
    </row>
    <row r="18" spans="2:26" s="4" customFormat="1" ht="25" customHeight="1">
      <c r="B18" s="551" t="s">
        <v>607</v>
      </c>
      <c r="C18" s="683"/>
      <c r="D18" s="683"/>
      <c r="E18" s="683"/>
      <c r="F18" s="683"/>
      <c r="H18" s="679"/>
      <c r="J18" s="681"/>
      <c r="K18" s="862"/>
      <c r="L18" s="680"/>
      <c r="M18" s="674"/>
      <c r="S18" s="682"/>
      <c r="T18" s="682"/>
      <c r="U18" s="682"/>
      <c r="V18" s="682"/>
      <c r="W18" s="682"/>
      <c r="X18" s="682"/>
      <c r="Y18" s="682"/>
      <c r="Z18" s="682"/>
    </row>
    <row r="19" spans="2:26" s="4" customFormat="1" ht="25" customHeight="1">
      <c r="B19" s="983" t="s">
        <v>608</v>
      </c>
      <c r="C19" s="983"/>
      <c r="D19" s="983"/>
      <c r="E19" s="983"/>
      <c r="F19" s="983"/>
      <c r="G19" s="684"/>
      <c r="H19" s="685"/>
      <c r="J19" s="686"/>
      <c r="K19" s="863"/>
      <c r="L19" s="687"/>
      <c r="M19" s="674"/>
      <c r="S19" s="682"/>
      <c r="T19" s="682"/>
      <c r="U19" s="682"/>
      <c r="V19" s="682"/>
      <c r="W19" s="682"/>
      <c r="X19" s="682"/>
      <c r="Y19" s="682"/>
      <c r="Z19" s="682"/>
    </row>
    <row r="20" spans="2:26" s="4" customFormat="1" ht="25" customHeight="1">
      <c r="B20" s="552" t="s">
        <v>400</v>
      </c>
      <c r="C20" s="553"/>
      <c r="D20" s="553"/>
      <c r="E20" s="553"/>
      <c r="F20" s="133"/>
      <c r="G20" s="684"/>
      <c r="H20" s="685"/>
      <c r="I20" s="684"/>
      <c r="J20" s="686"/>
      <c r="K20" s="863"/>
      <c r="L20" s="687"/>
      <c r="M20" s="688"/>
      <c r="S20" s="682"/>
      <c r="T20" s="682"/>
      <c r="U20" s="682"/>
      <c r="V20" s="682"/>
      <c r="W20" s="689"/>
      <c r="X20" s="8"/>
      <c r="Y20" s="682"/>
      <c r="Z20" s="682"/>
    </row>
    <row r="21" spans="2:26" s="4" customFormat="1" ht="25" customHeight="1">
      <c r="B21" s="465"/>
      <c r="C21" s="133"/>
      <c r="D21" s="133"/>
      <c r="E21" s="133"/>
      <c r="F21" s="133"/>
      <c r="G21" s="684"/>
      <c r="H21" s="685"/>
      <c r="I21" s="684"/>
      <c r="J21" s="686"/>
      <c r="K21" s="863"/>
      <c r="L21" s="687"/>
      <c r="M21" s="688"/>
      <c r="P21" s="1"/>
      <c r="Q21" s="1"/>
      <c r="R21" s="1"/>
      <c r="S21" s="682"/>
      <c r="T21" s="682"/>
      <c r="U21" s="682"/>
      <c r="V21" s="682"/>
      <c r="W21" s="682"/>
      <c r="X21" s="682"/>
      <c r="Y21" s="689"/>
      <c r="Z21" s="682"/>
    </row>
    <row r="22" spans="2:26" s="4" customFormat="1" ht="25" customHeight="1">
      <c r="B22" s="465"/>
      <c r="C22" s="133"/>
      <c r="D22" s="133"/>
      <c r="E22" s="133"/>
      <c r="F22" s="133"/>
      <c r="G22" s="684"/>
      <c r="H22" s="685"/>
      <c r="I22" s="684"/>
      <c r="J22" s="686"/>
      <c r="K22" s="863"/>
      <c r="L22" s="687"/>
      <c r="M22" s="688"/>
      <c r="P22" s="1"/>
      <c r="Q22" s="1"/>
      <c r="R22" s="1"/>
      <c r="S22" s="682"/>
      <c r="T22" s="682"/>
      <c r="U22" s="682"/>
      <c r="V22" s="682"/>
      <c r="W22" s="682"/>
      <c r="X22" s="682"/>
      <c r="Y22" s="689"/>
      <c r="Z22" s="682"/>
    </row>
    <row r="23" spans="2:26" s="691" customFormat="1" ht="25" customHeight="1">
      <c r="B23" s="651" t="s">
        <v>539</v>
      </c>
      <c r="C23" s="107"/>
      <c r="D23" s="107"/>
      <c r="E23" s="107"/>
      <c r="F23" s="107"/>
      <c r="G23" s="107"/>
      <c r="H23" s="21"/>
      <c r="I23" s="690"/>
      <c r="J23" s="690"/>
      <c r="K23" s="864"/>
      <c r="M23" s="692"/>
      <c r="P23" s="693"/>
      <c r="Q23" s="693"/>
      <c r="R23" s="694"/>
    </row>
    <row r="24" spans="2:26" ht="25" customHeight="1">
      <c r="B24" s="984" t="s">
        <v>648</v>
      </c>
      <c r="C24" s="984"/>
      <c r="D24" s="984"/>
      <c r="E24" s="984"/>
      <c r="M24" s="695"/>
    </row>
    <row r="25" spans="2:26" s="653" customFormat="1" ht="25" customHeight="1">
      <c r="B25" s="444" t="s">
        <v>208</v>
      </c>
      <c r="C25" s="11" t="s">
        <v>10</v>
      </c>
      <c r="D25" s="11" t="s">
        <v>11</v>
      </c>
      <c r="E25" s="131" t="s">
        <v>448</v>
      </c>
      <c r="F25" s="131" t="s">
        <v>268</v>
      </c>
      <c r="G25" s="131" t="s">
        <v>611</v>
      </c>
      <c r="H25" s="696"/>
      <c r="I25" s="697" t="s">
        <v>613</v>
      </c>
      <c r="J25" s="696"/>
      <c r="K25" s="866" t="s">
        <v>215</v>
      </c>
      <c r="M25" s="670"/>
      <c r="N25" s="1"/>
      <c r="O25" s="1"/>
      <c r="P25" s="689"/>
      <c r="Q25" s="689"/>
      <c r="R25" s="698"/>
    </row>
    <row r="26" spans="2:26" s="682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699">
        <f t="shared" ref="F26:F37" si="0">G26/720</f>
        <v>0.66666666666666663</v>
      </c>
      <c r="G26" s="700">
        <f t="shared" ref="G26:G37" si="1">C26*IAAS_vcpu_SEK+D26*IAAS_ram_SEK+E26*IAAS_nvme_SEK</f>
        <v>480</v>
      </c>
      <c r="H26" s="44"/>
      <c r="I26" s="701"/>
      <c r="J26" s="44"/>
      <c r="K26" s="867">
        <f t="shared" ref="K26:K37" si="2">ROUNDUP(I26*G26,2)</f>
        <v>0</v>
      </c>
      <c r="M26" s="702"/>
      <c r="P26" s="689"/>
      <c r="R26" s="689"/>
    </row>
    <row r="27" spans="2:26" s="682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703">
        <f t="shared" si="0"/>
        <v>1.2222222222222223</v>
      </c>
      <c r="G27" s="704">
        <f t="shared" si="1"/>
        <v>880</v>
      </c>
      <c r="H27" s="46"/>
      <c r="I27" s="701"/>
      <c r="J27" s="46"/>
      <c r="K27" s="868">
        <f t="shared" si="2"/>
        <v>0</v>
      </c>
      <c r="M27" s="702"/>
      <c r="P27" s="689"/>
      <c r="R27" s="689"/>
    </row>
    <row r="28" spans="2:26" s="682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699">
        <f t="shared" si="0"/>
        <v>1.9166666666666667</v>
      </c>
      <c r="G28" s="700">
        <f t="shared" si="1"/>
        <v>1380</v>
      </c>
      <c r="H28" s="44"/>
      <c r="I28" s="701"/>
      <c r="J28" s="44"/>
      <c r="K28" s="867">
        <f t="shared" si="2"/>
        <v>0</v>
      </c>
      <c r="M28" s="702"/>
      <c r="P28" s="689"/>
      <c r="R28" s="689"/>
    </row>
    <row r="29" spans="2:26" s="682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703">
        <f t="shared" si="0"/>
        <v>1.1944444444444444</v>
      </c>
      <c r="G29" s="704">
        <f t="shared" si="1"/>
        <v>860</v>
      </c>
      <c r="H29" s="46"/>
      <c r="I29" s="701"/>
      <c r="J29" s="46"/>
      <c r="K29" s="868">
        <f t="shared" si="2"/>
        <v>0</v>
      </c>
      <c r="M29" s="702"/>
      <c r="P29" s="689"/>
      <c r="R29" s="689"/>
    </row>
    <row r="30" spans="2:26" s="682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699">
        <f t="shared" si="0"/>
        <v>1.75</v>
      </c>
      <c r="G30" s="700">
        <f t="shared" si="1"/>
        <v>1260</v>
      </c>
      <c r="H30" s="44"/>
      <c r="I30" s="701"/>
      <c r="J30" s="44"/>
      <c r="K30" s="867">
        <f t="shared" si="2"/>
        <v>0</v>
      </c>
      <c r="M30" s="702"/>
      <c r="P30" s="689"/>
      <c r="R30" s="689"/>
    </row>
    <row r="31" spans="2:26" s="682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703">
        <f t="shared" si="0"/>
        <v>2.4444444444444446</v>
      </c>
      <c r="G31" s="704">
        <f t="shared" si="1"/>
        <v>1760</v>
      </c>
      <c r="H31" s="46"/>
      <c r="I31" s="701"/>
      <c r="J31" s="46"/>
      <c r="K31" s="868">
        <f t="shared" si="2"/>
        <v>0</v>
      </c>
      <c r="M31" s="702"/>
      <c r="P31" s="689"/>
      <c r="R31" s="689"/>
    </row>
    <row r="32" spans="2:26" s="682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699">
        <f t="shared" si="0"/>
        <v>2.25</v>
      </c>
      <c r="G32" s="700">
        <f t="shared" si="1"/>
        <v>1620</v>
      </c>
      <c r="H32" s="44"/>
      <c r="I32" s="701"/>
      <c r="J32" s="44"/>
      <c r="K32" s="867">
        <f t="shared" si="2"/>
        <v>0</v>
      </c>
      <c r="M32" s="702"/>
      <c r="P32" s="689"/>
      <c r="R32" s="689"/>
    </row>
    <row r="33" spans="2:18" s="682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703">
        <f t="shared" si="0"/>
        <v>2.8055555555555554</v>
      </c>
      <c r="G33" s="704">
        <f t="shared" si="1"/>
        <v>2020</v>
      </c>
      <c r="H33" s="46"/>
      <c r="I33" s="701"/>
      <c r="J33" s="46"/>
      <c r="K33" s="868">
        <f t="shared" si="2"/>
        <v>0</v>
      </c>
      <c r="M33" s="702"/>
      <c r="P33" s="689"/>
      <c r="R33" s="689"/>
    </row>
    <row r="34" spans="2:18" s="682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699">
        <f t="shared" si="0"/>
        <v>3.5</v>
      </c>
      <c r="G34" s="700">
        <f t="shared" si="1"/>
        <v>2520</v>
      </c>
      <c r="H34" s="44"/>
      <c r="I34" s="701"/>
      <c r="J34" s="44"/>
      <c r="K34" s="867">
        <f t="shared" si="2"/>
        <v>0</v>
      </c>
      <c r="M34" s="702"/>
      <c r="P34" s="689"/>
      <c r="R34" s="689"/>
    </row>
    <row r="35" spans="2:18" s="682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703">
        <f t="shared" si="0"/>
        <v>4.3611111111111107</v>
      </c>
      <c r="G35" s="704">
        <f t="shared" si="1"/>
        <v>3140</v>
      </c>
      <c r="H35" s="46"/>
      <c r="I35" s="701"/>
      <c r="J35" s="46"/>
      <c r="K35" s="868">
        <f t="shared" si="2"/>
        <v>0</v>
      </c>
      <c r="M35" s="702"/>
      <c r="P35" s="689"/>
      <c r="R35" s="689"/>
    </row>
    <row r="36" spans="2:18" s="682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699">
        <f t="shared" si="0"/>
        <v>4.916666666666667</v>
      </c>
      <c r="G36" s="700">
        <f t="shared" si="1"/>
        <v>3540</v>
      </c>
      <c r="H36" s="44"/>
      <c r="I36" s="701"/>
      <c r="J36" s="44"/>
      <c r="K36" s="867">
        <f t="shared" si="2"/>
        <v>0</v>
      </c>
      <c r="M36" s="702"/>
      <c r="P36" s="689"/>
      <c r="R36" s="689"/>
    </row>
    <row r="37" spans="2:18" s="682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703">
        <f t="shared" si="0"/>
        <v>5.6111111111111107</v>
      </c>
      <c r="G37" s="704">
        <f t="shared" si="1"/>
        <v>4040</v>
      </c>
      <c r="H37" s="46"/>
      <c r="I37" s="701"/>
      <c r="J37" s="46"/>
      <c r="K37" s="868">
        <f t="shared" si="2"/>
        <v>0</v>
      </c>
      <c r="M37" s="702"/>
      <c r="P37" s="689"/>
      <c r="R37" s="689"/>
    </row>
    <row r="38" spans="2:18" s="903" customFormat="1" ht="25" customHeight="1">
      <c r="B38" s="899" t="s">
        <v>222</v>
      </c>
      <c r="C38" s="900" t="str" cm="1">
        <f t="array" ref="C38">SUM(C26:C37*I26:I37)&amp;" st"</f>
        <v>0 st</v>
      </c>
      <c r="D38" s="900" t="str" cm="1">
        <f t="array" ref="D38">SUM(D26:D37*I26:I37)&amp;" GB"</f>
        <v>0 GB</v>
      </c>
      <c r="E38" s="901" t="str" cm="1">
        <f t="array" ref="E38">SUM(E26:E37*I26:I37)&amp;" GB"</f>
        <v>0 GB</v>
      </c>
      <c r="F38" s="900"/>
      <c r="G38" s="900"/>
      <c r="H38" s="900"/>
      <c r="I38" s="900" t="str">
        <f>SUM(I26:I37)&amp;" st"</f>
        <v>0 st</v>
      </c>
      <c r="J38" s="900"/>
      <c r="K38" s="902">
        <f>SUM(K26:K37)</f>
        <v>0</v>
      </c>
      <c r="M38" s="904"/>
      <c r="P38" s="905"/>
      <c r="R38" s="905"/>
    </row>
    <row r="39" spans="2:18" s="682" customFormat="1" ht="25" customHeight="1">
      <c r="B39" s="448"/>
      <c r="C39" s="705"/>
      <c r="D39" s="705"/>
      <c r="E39" s="706"/>
      <c r="F39" s="707"/>
      <c r="G39" s="708"/>
      <c r="H39" s="709"/>
      <c r="I39" s="710"/>
      <c r="J39" s="711"/>
      <c r="K39" s="869"/>
      <c r="M39" s="702"/>
      <c r="P39" s="689"/>
      <c r="R39" s="689"/>
    </row>
    <row r="40" spans="2:18" s="682" customFormat="1" ht="25" customHeight="1">
      <c r="B40" s="448"/>
      <c r="C40" s="705"/>
      <c r="D40" s="705"/>
      <c r="E40" s="706"/>
      <c r="F40" s="707"/>
      <c r="G40" s="708"/>
      <c r="H40" s="709"/>
      <c r="I40" s="710"/>
      <c r="J40" s="711"/>
      <c r="K40" s="869"/>
      <c r="M40" s="702"/>
      <c r="P40" s="689"/>
      <c r="R40" s="689"/>
    </row>
    <row r="41" spans="2:18" ht="25" customHeight="1">
      <c r="B41" s="449"/>
      <c r="C41" s="17"/>
      <c r="D41" s="17"/>
      <c r="E41" s="17"/>
      <c r="F41" s="17"/>
      <c r="G41" s="713"/>
      <c r="H41" s="714"/>
      <c r="I41" s="714"/>
      <c r="J41" s="17"/>
      <c r="K41" s="870"/>
      <c r="M41" s="670"/>
      <c r="P41" s="689"/>
      <c r="Q41" s="689"/>
      <c r="R41" s="698"/>
    </row>
    <row r="42" spans="2:18" s="653" customFormat="1" ht="25" customHeight="1">
      <c r="B42" s="654" t="s">
        <v>449</v>
      </c>
      <c r="C42" s="652"/>
      <c r="D42" s="652"/>
      <c r="K42" s="871"/>
      <c r="M42" s="716"/>
    </row>
    <row r="43" spans="2:18" ht="25" customHeight="1">
      <c r="B43" s="984" t="s">
        <v>654</v>
      </c>
      <c r="C43" s="984"/>
      <c r="D43" s="984"/>
      <c r="E43" s="984"/>
      <c r="M43" s="695"/>
    </row>
    <row r="44" spans="2:18" s="653" customFormat="1" ht="25" customHeight="1">
      <c r="B44" s="444" t="s">
        <v>208</v>
      </c>
      <c r="C44" s="11" t="s">
        <v>10</v>
      </c>
      <c r="D44" s="11" t="s">
        <v>11</v>
      </c>
      <c r="E44" s="131" t="s">
        <v>448</v>
      </c>
      <c r="F44" s="131" t="s">
        <v>268</v>
      </c>
      <c r="G44" s="131" t="s">
        <v>611</v>
      </c>
      <c r="H44" s="696"/>
      <c r="I44" s="697" t="s">
        <v>613</v>
      </c>
      <c r="J44" s="696"/>
      <c r="K44" s="866" t="s">
        <v>215</v>
      </c>
      <c r="M44" s="670"/>
      <c r="N44" s="1"/>
      <c r="O44" s="1"/>
      <c r="P44" s="689"/>
      <c r="Q44" s="689"/>
      <c r="R44" s="698"/>
    </row>
    <row r="45" spans="2:18" s="682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699">
        <f t="shared" ref="F45:F54" si="3">G45/720</f>
        <v>0.2638888888888889</v>
      </c>
      <c r="G45" s="700">
        <f t="shared" ref="G45:G54" si="4">C45*IAAS_vcpu_SEK+D45*IAAS_ram_SEK+E45*IAAS_ssd_SEK</f>
        <v>190</v>
      </c>
      <c r="H45" s="44"/>
      <c r="I45" s="701"/>
      <c r="J45" s="44"/>
      <c r="K45" s="867">
        <f t="shared" ref="K45:K54" si="5">ROUNDUP(I45*G45,2)</f>
        <v>0</v>
      </c>
      <c r="M45" s="702"/>
      <c r="N45" s="720"/>
      <c r="O45" s="721"/>
    </row>
    <row r="46" spans="2:18" s="682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703">
        <f t="shared" si="3"/>
        <v>0.41666666666666669</v>
      </c>
      <c r="G46" s="704">
        <f t="shared" si="4"/>
        <v>300</v>
      </c>
      <c r="H46" s="46"/>
      <c r="I46" s="701"/>
      <c r="J46" s="46"/>
      <c r="K46" s="868">
        <f t="shared" si="5"/>
        <v>0</v>
      </c>
      <c r="L46" s="722"/>
      <c r="M46" s="702"/>
      <c r="N46" s="720"/>
      <c r="O46" s="721"/>
    </row>
    <row r="47" spans="2:18" s="682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699">
        <f t="shared" si="3"/>
        <v>0.52777777777777779</v>
      </c>
      <c r="G47" s="700">
        <f t="shared" si="4"/>
        <v>380</v>
      </c>
      <c r="H47" s="44"/>
      <c r="I47" s="701"/>
      <c r="J47" s="44"/>
      <c r="K47" s="867">
        <f t="shared" si="5"/>
        <v>0</v>
      </c>
      <c r="L47" s="722"/>
      <c r="M47" s="702"/>
      <c r="N47" s="720"/>
      <c r="O47" s="721"/>
    </row>
    <row r="48" spans="2:18" s="682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703">
        <f t="shared" si="3"/>
        <v>0.83333333333333337</v>
      </c>
      <c r="G48" s="704">
        <f t="shared" si="4"/>
        <v>600</v>
      </c>
      <c r="H48" s="46"/>
      <c r="I48" s="701"/>
      <c r="J48" s="46"/>
      <c r="K48" s="868">
        <f t="shared" si="5"/>
        <v>0</v>
      </c>
      <c r="L48" s="722"/>
      <c r="M48" s="702"/>
      <c r="N48" s="720"/>
      <c r="O48" s="957"/>
    </row>
    <row r="49" spans="1:20" s="682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699">
        <f t="shared" si="3"/>
        <v>1.0555555555555556</v>
      </c>
      <c r="G49" s="700">
        <f t="shared" si="4"/>
        <v>760</v>
      </c>
      <c r="H49" s="44"/>
      <c r="I49" s="701"/>
      <c r="J49" s="44"/>
      <c r="K49" s="867">
        <f t="shared" si="5"/>
        <v>0</v>
      </c>
      <c r="L49" s="722"/>
      <c r="M49" s="702"/>
      <c r="N49" s="720"/>
    </row>
    <row r="50" spans="1:20" s="682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703">
        <f t="shared" si="3"/>
        <v>1.6666666666666667</v>
      </c>
      <c r="G50" s="704">
        <f t="shared" si="4"/>
        <v>1200</v>
      </c>
      <c r="H50" s="46"/>
      <c r="I50" s="701"/>
      <c r="J50" s="46"/>
      <c r="K50" s="868">
        <f t="shared" si="5"/>
        <v>0</v>
      </c>
      <c r="L50" s="722"/>
      <c r="M50" s="702"/>
    </row>
    <row r="51" spans="1:20" s="682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699">
        <f t="shared" si="3"/>
        <v>2.1111111111111112</v>
      </c>
      <c r="G51" s="700">
        <f t="shared" si="4"/>
        <v>1520</v>
      </c>
      <c r="H51" s="44"/>
      <c r="I51" s="701"/>
      <c r="J51" s="44"/>
      <c r="K51" s="867">
        <f t="shared" si="5"/>
        <v>0</v>
      </c>
      <c r="L51" s="722"/>
      <c r="M51" s="702"/>
    </row>
    <row r="52" spans="1:20" s="682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703">
        <f t="shared" si="3"/>
        <v>3.3333333333333335</v>
      </c>
      <c r="G52" s="704">
        <f t="shared" si="4"/>
        <v>2400</v>
      </c>
      <c r="H52" s="46"/>
      <c r="I52" s="701"/>
      <c r="J52" s="46"/>
      <c r="K52" s="868">
        <f t="shared" si="5"/>
        <v>0</v>
      </c>
      <c r="L52" s="722"/>
      <c r="M52" s="702"/>
    </row>
    <row r="53" spans="1:20" s="682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699">
        <f t="shared" si="3"/>
        <v>4.2222222222222223</v>
      </c>
      <c r="G53" s="700">
        <f t="shared" si="4"/>
        <v>3040</v>
      </c>
      <c r="H53" s="44"/>
      <c r="I53" s="701"/>
      <c r="J53" s="44"/>
      <c r="K53" s="867">
        <f t="shared" si="5"/>
        <v>0</v>
      </c>
      <c r="L53" s="722"/>
      <c r="M53" s="702"/>
      <c r="P53" s="689"/>
      <c r="Q53" s="689"/>
      <c r="R53" s="689"/>
    </row>
    <row r="54" spans="1:20" s="682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703">
        <f t="shared" si="3"/>
        <v>6.666666666666667</v>
      </c>
      <c r="G54" s="704">
        <f t="shared" si="4"/>
        <v>4800</v>
      </c>
      <c r="H54" s="46"/>
      <c r="I54" s="701"/>
      <c r="J54" s="46"/>
      <c r="K54" s="868">
        <f t="shared" si="5"/>
        <v>0</v>
      </c>
      <c r="L54" s="722"/>
      <c r="M54" s="702"/>
      <c r="P54" s="689"/>
      <c r="Q54" s="689"/>
      <c r="R54" s="689"/>
    </row>
    <row r="55" spans="1:20" s="903" customFormat="1" ht="25" customHeight="1">
      <c r="B55" s="899" t="s">
        <v>222</v>
      </c>
      <c r="C55" s="900" t="str" cm="1">
        <f t="array" ref="C55">SUM(b2_list_vCPU*b2_list_Antal_instanser)&amp;" st"</f>
        <v>0 st</v>
      </c>
      <c r="D55" s="900" t="str" cm="1">
        <f t="array" ref="D55">SUM(b2_list_ram*b2_list_vCPU)&amp;" GB"</f>
        <v>0 GB</v>
      </c>
      <c r="E55" s="906" t="s">
        <v>94</v>
      </c>
      <c r="F55" s="900"/>
      <c r="G55" s="900"/>
      <c r="H55" s="900"/>
      <c r="I55" s="900" t="str">
        <f>SUM(I45:I54)&amp;" st"</f>
        <v>0 st</v>
      </c>
      <c r="J55" s="900"/>
      <c r="K55" s="902">
        <f>SUM(K45:K54)</f>
        <v>0</v>
      </c>
      <c r="M55" s="904"/>
      <c r="P55" s="905"/>
      <c r="R55" s="905"/>
    </row>
    <row r="56" spans="1:20" ht="25" customHeight="1">
      <c r="A56" s="682"/>
      <c r="B56" s="448"/>
      <c r="C56" s="19"/>
      <c r="D56" s="19"/>
      <c r="E56" s="19"/>
      <c r="F56" s="19"/>
      <c r="G56" s="708"/>
      <c r="H56" s="709"/>
      <c r="I56" s="712"/>
      <c r="J56" s="711"/>
      <c r="K56" s="869"/>
      <c r="M56" s="670"/>
      <c r="P56" s="689"/>
      <c r="Q56" s="689"/>
      <c r="R56" s="698"/>
    </row>
    <row r="57" spans="1:20" s="723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72"/>
      <c r="L57" s="724"/>
      <c r="M57" s="725"/>
      <c r="R57" s="726"/>
      <c r="S57" s="726"/>
      <c r="T57" s="727"/>
    </row>
    <row r="58" spans="1:20" ht="25" hidden="1" customHeight="1">
      <c r="B58" s="985" t="s">
        <v>655</v>
      </c>
      <c r="C58" s="985"/>
      <c r="D58" s="985"/>
      <c r="E58" s="985"/>
      <c r="M58" s="695"/>
    </row>
    <row r="59" spans="1:20" s="728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7" t="s">
        <v>212</v>
      </c>
      <c r="J59" s="696"/>
      <c r="K59" s="866" t="s">
        <v>215</v>
      </c>
      <c r="L59" s="729"/>
      <c r="M59" s="730"/>
      <c r="Q59" s="731"/>
      <c r="R59" s="731"/>
      <c r="S59" s="732"/>
    </row>
    <row r="60" spans="1:20" s="682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33">
        <f t="shared" ref="G60:G63" si="6">H60/720</f>
        <v>9.6527777777777786</v>
      </c>
      <c r="H60" s="700">
        <f>C60*IAAS_vcpu_SEK+D60*IAAS_ram_SEK+E60*IAAS_nvme_SEK+F60*IAAS_gpu_SEK</f>
        <v>6950</v>
      </c>
      <c r="I60" s="956"/>
      <c r="J60" s="14"/>
      <c r="K60" s="867">
        <f>ROUNDUP(I60*H60,2)</f>
        <v>0</v>
      </c>
      <c r="M60" s="702"/>
      <c r="P60" s="689"/>
      <c r="R60" s="689"/>
    </row>
    <row r="61" spans="1:20" s="682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34">
        <f t="shared" si="6"/>
        <v>19.305555555555557</v>
      </c>
      <c r="H61" s="704">
        <f>C61*IAAS_vcpu_SEK+D61*IAAS_ram_SEK+E61*IAAS_nvme_SEK+F61*IAAS_gpu_SEK</f>
        <v>13900</v>
      </c>
      <c r="I61" s="956"/>
      <c r="J61" s="16"/>
      <c r="K61" s="868">
        <f>ROUNDUP(I61*H61,2)</f>
        <v>0</v>
      </c>
      <c r="M61" s="702"/>
      <c r="P61" s="689"/>
      <c r="R61" s="689"/>
    </row>
    <row r="62" spans="1:20" s="682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33">
        <f t="shared" si="6"/>
        <v>38.611111111111114</v>
      </c>
      <c r="H62" s="700">
        <f>C62*IAAS_vcpu_SEK+D62*IAAS_ram_SEK+E62*IAAS_nvme_SEK+F62*IAAS_gpu_SEK</f>
        <v>27800</v>
      </c>
      <c r="I62" s="956"/>
      <c r="J62" s="14"/>
      <c r="K62" s="867">
        <f>ROUNDUP(I62*H62,2)</f>
        <v>0</v>
      </c>
      <c r="M62" s="702"/>
      <c r="P62" s="689"/>
      <c r="R62" s="689"/>
    </row>
    <row r="63" spans="1:20" s="682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34">
        <f t="shared" si="6"/>
        <v>60.555555555555557</v>
      </c>
      <c r="H63" s="704">
        <f>C63*IAAS_vcpu_SEK+D63*IAAS_ram_SEK+E63*IAAS_nvme_SEK+F63*IAAS_gpu_SEK</f>
        <v>43600</v>
      </c>
      <c r="I63" s="956"/>
      <c r="J63" s="16"/>
      <c r="K63" s="868">
        <f>ROUNDUP(I63*H63,2)</f>
        <v>0</v>
      </c>
      <c r="M63" s="702"/>
      <c r="P63" s="689"/>
      <c r="R63" s="689"/>
    </row>
    <row r="64" spans="1:20" s="903" customFormat="1" ht="25" hidden="1" customHeight="1">
      <c r="B64" s="899" t="s">
        <v>222</v>
      </c>
      <c r="C64" s="900" t="str" cm="1">
        <f t="array" ref="C64">SUM(I60:I63*C60:C63)&amp;" st"</f>
        <v>0 st</v>
      </c>
      <c r="D64" s="900" t="str" cm="1">
        <f t="array" ref="D64">SUM(I60:I63*D60:D63)&amp;" GB"</f>
        <v>0 GB</v>
      </c>
      <c r="E64" s="901" t="str" cm="1">
        <f t="array" ref="E64">SUM(I60:I63*E60:E63)&amp;" GB"</f>
        <v>0 GB</v>
      </c>
      <c r="F64" s="901" t="str" cm="1">
        <f t="array" ref="F64">SUM(I60:I63*F60:F63)&amp;" st"</f>
        <v>0 st</v>
      </c>
      <c r="G64" s="900"/>
      <c r="H64" s="900"/>
      <c r="I64" s="900" t="str">
        <f>SUM(I60:I63)&amp;" st"</f>
        <v>0 st</v>
      </c>
      <c r="J64" s="900"/>
      <c r="K64" s="902">
        <f>SUM(K60:K63)</f>
        <v>0</v>
      </c>
      <c r="M64" s="904"/>
      <c r="P64" s="905"/>
      <c r="R64" s="905"/>
    </row>
    <row r="65" spans="2:20" s="682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73"/>
      <c r="M65" s="702"/>
      <c r="P65" s="689"/>
      <c r="R65" s="689"/>
    </row>
    <row r="66" spans="2:20" s="682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73"/>
      <c r="M66" s="702"/>
      <c r="P66" s="689"/>
      <c r="R66" s="689"/>
    </row>
    <row r="67" spans="2:20" s="691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73"/>
      <c r="M67" s="692"/>
      <c r="N67" s="8"/>
      <c r="O67" s="8"/>
      <c r="P67" s="693"/>
      <c r="Q67" s="8"/>
      <c r="R67" s="694"/>
    </row>
    <row r="68" spans="2:20" ht="25" hidden="1" customHeight="1">
      <c r="B68" s="985" t="s">
        <v>655</v>
      </c>
      <c r="C68" s="985"/>
      <c r="D68" s="985"/>
      <c r="E68" s="985"/>
      <c r="M68" s="695"/>
    </row>
    <row r="69" spans="2:20" s="728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6"/>
      <c r="I69" s="697" t="s">
        <v>366</v>
      </c>
      <c r="J69" s="696"/>
      <c r="K69" s="866" t="s">
        <v>215</v>
      </c>
      <c r="L69" s="729"/>
      <c r="M69" s="730"/>
      <c r="Q69" s="731"/>
      <c r="R69" s="731"/>
      <c r="S69" s="732"/>
    </row>
    <row r="70" spans="2:20" s="682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38">
        <f t="shared" ref="F70:F72" si="7">G70/720</f>
        <v>9.5</v>
      </c>
      <c r="G70" s="739">
        <f>INSTANCE_p1.2xlarge.16d_SEK</f>
        <v>6840</v>
      </c>
      <c r="H70" s="14"/>
      <c r="I70" s="956"/>
      <c r="J70" s="14"/>
      <c r="K70" s="867">
        <f>ROUNDUP(I70*G70,2)</f>
        <v>0</v>
      </c>
      <c r="L70" s="8"/>
      <c r="M70" s="702"/>
    </row>
    <row r="71" spans="2:20" s="682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40">
        <f t="shared" si="7"/>
        <v>19</v>
      </c>
      <c r="G71" s="96">
        <f>INSTANCE_p1.4xlarge.16d_SEK</f>
        <v>13680</v>
      </c>
      <c r="H71" s="16"/>
      <c r="I71" s="956"/>
      <c r="J71" s="16"/>
      <c r="K71" s="868">
        <f>ROUNDUP(I71*G71,2)</f>
        <v>0</v>
      </c>
      <c r="L71" s="8"/>
      <c r="M71" s="702"/>
      <c r="S71" s="689"/>
    </row>
    <row r="72" spans="2:20" s="736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41">
        <f t="shared" si="7"/>
        <v>38</v>
      </c>
      <c r="G72" s="739">
        <f>INSTANCE_p1.8xlarge.32d_SEK</f>
        <v>27360</v>
      </c>
      <c r="H72" s="14"/>
      <c r="I72" s="956"/>
      <c r="J72" s="14"/>
      <c r="K72" s="867">
        <f>ROUNDUP(I72*G72,2)</f>
        <v>0</v>
      </c>
      <c r="L72" s="742"/>
      <c r="M72" s="735"/>
    </row>
    <row r="73" spans="2:20" s="903" customFormat="1" ht="25" hidden="1" customHeight="1">
      <c r="B73" s="899" t="s">
        <v>222</v>
      </c>
      <c r="C73" s="900" t="str" cm="1">
        <f t="array" ref="C73">SUM(I70:I72*C70:C72)&amp;" st"</f>
        <v>0 st</v>
      </c>
      <c r="D73" s="900" t="str" cm="1">
        <f t="array" ref="D73">SUM(I70:I72*D70:D72)&amp;" GB"</f>
        <v>0 GB</v>
      </c>
      <c r="E73" s="901" t="str" cm="1">
        <f t="array" ref="E73">SUM(I70:I72*E70:E72)&amp;" GB"</f>
        <v>0 GB</v>
      </c>
      <c r="F73" s="900"/>
      <c r="G73" s="900"/>
      <c r="H73" s="900"/>
      <c r="I73" s="900" t="str">
        <f>SUM(I70:I72)&amp;" st"</f>
        <v>0 st</v>
      </c>
      <c r="J73" s="900"/>
      <c r="K73" s="902">
        <f>SUM(K70:K72)</f>
        <v>0</v>
      </c>
      <c r="M73" s="904"/>
      <c r="P73" s="905"/>
      <c r="R73" s="905"/>
    </row>
    <row r="74" spans="2:20" ht="25" customHeight="1">
      <c r="B74" s="452"/>
      <c r="C74" s="76"/>
      <c r="D74" s="76"/>
      <c r="E74" s="76"/>
      <c r="F74" s="76"/>
      <c r="G74" s="76"/>
      <c r="H74" s="736"/>
      <c r="I74" s="710"/>
      <c r="J74" s="710"/>
      <c r="K74" s="874"/>
      <c r="L74" s="712"/>
      <c r="M74" s="670"/>
    </row>
    <row r="75" spans="2:20" s="682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73"/>
      <c r="L75" s="737"/>
      <c r="M75" s="702"/>
      <c r="Q75" s="689"/>
      <c r="S75" s="689"/>
    </row>
    <row r="76" spans="2:20" ht="25" customHeight="1">
      <c r="B76" s="651" t="s">
        <v>610</v>
      </c>
      <c r="C76" s="22"/>
      <c r="D76" s="22"/>
      <c r="E76" s="22"/>
      <c r="F76" s="22"/>
      <c r="G76" s="22"/>
      <c r="H76" s="8"/>
      <c r="I76" s="8"/>
      <c r="J76" s="8"/>
      <c r="K76" s="873"/>
      <c r="L76" s="737"/>
      <c r="M76" s="670"/>
      <c r="N76" s="682"/>
      <c r="O76" s="682"/>
      <c r="P76" s="682"/>
      <c r="Q76" s="682"/>
      <c r="R76" s="689"/>
      <c r="S76" s="682"/>
      <c r="T76" s="698"/>
    </row>
    <row r="77" spans="2:20" ht="25" customHeight="1">
      <c r="B77" s="630" t="s">
        <v>609</v>
      </c>
      <c r="M77" s="695"/>
    </row>
    <row r="78" spans="2:20" s="745" customFormat="1" ht="25" customHeight="1">
      <c r="B78" s="444" t="s">
        <v>208</v>
      </c>
      <c r="C78" s="24" t="s">
        <v>276</v>
      </c>
      <c r="D78" s="24"/>
      <c r="E78" s="24"/>
      <c r="F78" s="132" t="s">
        <v>210</v>
      </c>
      <c r="G78" s="131" t="s">
        <v>437</v>
      </c>
      <c r="H78" s="24"/>
      <c r="I78" s="743" t="s">
        <v>612</v>
      </c>
      <c r="J78" s="24"/>
      <c r="K78" s="614" t="s">
        <v>614</v>
      </c>
      <c r="L78" s="719"/>
      <c r="M78" s="744"/>
      <c r="N78" s="719"/>
      <c r="R78" s="746"/>
      <c r="S78" s="746"/>
      <c r="T78" s="747"/>
    </row>
    <row r="79" spans="2:20" s="682" customFormat="1" ht="25" customHeight="1">
      <c r="B79" s="134" t="s">
        <v>491</v>
      </c>
      <c r="C79" s="39" t="s">
        <v>68</v>
      </c>
      <c r="D79" s="78"/>
      <c r="E79" s="78"/>
      <c r="F79" s="80">
        <f>G79/720</f>
        <v>1.6666666666666666E-3</v>
      </c>
      <c r="G79" s="738">
        <f>VOLUME_large_SEK</f>
        <v>1.2</v>
      </c>
      <c r="H79" s="748"/>
      <c r="I79" s="749"/>
      <c r="J79" s="399"/>
      <c r="K79" s="857">
        <f>ROUNDUP(I79*G79,2)</f>
        <v>0</v>
      </c>
      <c r="L79" s="8"/>
      <c r="M79" s="702"/>
    </row>
    <row r="80" spans="2:20" s="682" customFormat="1" ht="25" customHeight="1">
      <c r="B80" s="137" t="s">
        <v>492</v>
      </c>
      <c r="C80" s="41" t="s">
        <v>71</v>
      </c>
      <c r="D80" s="79"/>
      <c r="E80" s="79"/>
      <c r="F80" s="81">
        <f>G80/720</f>
        <v>5.0000000000000001E-3</v>
      </c>
      <c r="G80" s="740">
        <f>VOLUME_fast_SEK</f>
        <v>3.6</v>
      </c>
      <c r="H80" s="751"/>
      <c r="I80" s="753"/>
      <c r="J80" s="754"/>
      <c r="K80" s="858">
        <f>ROUNDUP(I80*G80,2)</f>
        <v>0</v>
      </c>
      <c r="L80" s="8"/>
      <c r="M80" s="702"/>
      <c r="T80" s="689"/>
    </row>
    <row r="81" spans="2:26" s="682" customFormat="1" ht="25" customHeight="1">
      <c r="B81" s="134" t="s">
        <v>493</v>
      </c>
      <c r="C81" s="39" t="s">
        <v>434</v>
      </c>
      <c r="D81" s="78"/>
      <c r="E81" s="78"/>
      <c r="F81" s="80">
        <f>G81/720</f>
        <v>1.6666666666666666E-3</v>
      </c>
      <c r="G81" s="738">
        <f>VOLUME_large_SEK</f>
        <v>1.2</v>
      </c>
      <c r="H81" s="755"/>
      <c r="I81" s="749"/>
      <c r="J81" s="399"/>
      <c r="K81" s="857">
        <f>ROUNDUP(I81*G81,2)</f>
        <v>0</v>
      </c>
      <c r="L81" s="8"/>
      <c r="M81" s="702"/>
    </row>
    <row r="82" spans="2:26" s="903" customFormat="1" ht="25" customHeight="1">
      <c r="B82" s="899" t="s">
        <v>222</v>
      </c>
      <c r="C82" s="900"/>
      <c r="D82" s="900"/>
      <c r="E82" s="900"/>
      <c r="F82" s="900"/>
      <c r="G82" s="900"/>
      <c r="H82" s="900"/>
      <c r="I82" s="900" t="str">
        <f>SUM(I79:I81)&amp;" GB"</f>
        <v>0 GB</v>
      </c>
      <c r="J82" s="900"/>
      <c r="K82" s="902">
        <f>SUM(K79:K81)</f>
        <v>0</v>
      </c>
      <c r="M82" s="904"/>
      <c r="P82" s="905"/>
      <c r="R82" s="905"/>
    </row>
    <row r="83" spans="2:26" ht="25" customHeight="1">
      <c r="B83" s="452"/>
      <c r="C83" s="76"/>
      <c r="D83" s="76"/>
      <c r="E83" s="76"/>
      <c r="F83" s="76"/>
      <c r="G83" s="76"/>
      <c r="H83" s="736"/>
      <c r="I83" s="756"/>
      <c r="J83" s="756"/>
      <c r="K83" s="875"/>
      <c r="L83" s="758"/>
      <c r="M83" s="670"/>
    </row>
    <row r="84" spans="2:26" s="4" customFormat="1" ht="25" customHeight="1">
      <c r="B84" s="452"/>
      <c r="C84" s="76"/>
      <c r="D84" s="76"/>
      <c r="E84" s="76"/>
      <c r="F84" s="76"/>
      <c r="G84" s="76"/>
      <c r="H84" s="756"/>
      <c r="I84" s="756"/>
      <c r="J84" s="756"/>
      <c r="K84" s="876"/>
      <c r="L84" s="757"/>
      <c r="M84" s="674"/>
    </row>
    <row r="85" spans="2:26" s="4" customFormat="1" ht="25" customHeight="1">
      <c r="B85" s="967" t="s">
        <v>669</v>
      </c>
      <c r="C85" s="967"/>
      <c r="D85" s="967"/>
      <c r="E85" s="967"/>
      <c r="F85" s="967"/>
      <c r="G85" s="967"/>
      <c r="H85" s="679"/>
      <c r="J85" s="681"/>
      <c r="K85" s="862"/>
      <c r="M85" s="674"/>
    </row>
    <row r="86" spans="2:26" s="4" customFormat="1" ht="25" customHeight="1">
      <c r="B86" s="967"/>
      <c r="C86" s="967"/>
      <c r="D86" s="967"/>
      <c r="E86" s="967"/>
      <c r="F86" s="967"/>
      <c r="G86" s="967"/>
      <c r="H86" s="679"/>
      <c r="J86" s="681"/>
      <c r="K86" s="862"/>
      <c r="M86" s="674"/>
    </row>
    <row r="87" spans="2:26" s="4" customFormat="1" ht="25" customHeight="1">
      <c r="B87" s="967"/>
      <c r="C87" s="967"/>
      <c r="D87" s="967"/>
      <c r="E87" s="967"/>
      <c r="F87" s="967"/>
      <c r="G87" s="967"/>
      <c r="H87" s="679"/>
      <c r="J87" s="681"/>
      <c r="K87" s="862"/>
      <c r="M87" s="674"/>
    </row>
    <row r="88" spans="2:26" s="4" customFormat="1" ht="25" customHeight="1">
      <c r="B88" s="551" t="s">
        <v>649</v>
      </c>
      <c r="C88" s="551"/>
      <c r="D88" s="551"/>
      <c r="E88" s="551"/>
      <c r="F88" s="551"/>
      <c r="H88" s="679"/>
      <c r="J88" s="681"/>
      <c r="K88" s="862"/>
      <c r="M88" s="688"/>
    </row>
    <row r="89" spans="2:26" s="505" customFormat="1" ht="25" customHeight="1">
      <c r="B89" s="465" t="s">
        <v>615</v>
      </c>
      <c r="C89" s="465"/>
      <c r="D89" s="465"/>
      <c r="E89" s="465"/>
      <c r="F89" s="465"/>
      <c r="G89" s="759"/>
      <c r="H89" s="760"/>
      <c r="I89" s="759"/>
      <c r="J89" s="761"/>
      <c r="K89" s="877"/>
      <c r="L89" s="759"/>
      <c r="M89" s="762"/>
    </row>
    <row r="90" spans="2:26" s="4" customFormat="1" ht="25" customHeight="1">
      <c r="B90" s="552" t="s">
        <v>400</v>
      </c>
      <c r="C90" s="553"/>
      <c r="D90" s="553"/>
      <c r="E90" s="553"/>
      <c r="F90" s="133"/>
      <c r="G90" s="684"/>
      <c r="H90" s="685"/>
      <c r="I90" s="684"/>
      <c r="J90" s="686"/>
      <c r="K90" s="863"/>
      <c r="L90" s="687"/>
      <c r="M90" s="688"/>
      <c r="S90" s="682"/>
      <c r="T90" s="682"/>
      <c r="U90" s="682"/>
      <c r="V90" s="682"/>
      <c r="W90" s="689"/>
      <c r="X90" s="8"/>
      <c r="Y90" s="682"/>
      <c r="Z90" s="682"/>
    </row>
    <row r="91" spans="2:26" s="682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73"/>
      <c r="L91" s="737"/>
      <c r="M91" s="702"/>
      <c r="R91" s="689"/>
      <c r="T91" s="689"/>
    </row>
    <row r="92" spans="2:26" s="4" customFormat="1" ht="25" customHeight="1">
      <c r="B92" s="444" t="s">
        <v>208</v>
      </c>
      <c r="C92" s="10"/>
      <c r="D92" s="131"/>
      <c r="E92" s="131"/>
      <c r="F92" s="24"/>
      <c r="G92" s="131" t="s">
        <v>616</v>
      </c>
      <c r="H92" s="24"/>
      <c r="I92" s="743" t="s">
        <v>617</v>
      </c>
      <c r="J92" s="131"/>
      <c r="K92" s="614" t="s">
        <v>83</v>
      </c>
      <c r="L92" s="687"/>
      <c r="M92" s="702"/>
      <c r="N92" s="682"/>
    </row>
    <row r="93" spans="2:26" s="769" customFormat="1" ht="25" customHeight="1">
      <c r="B93" s="445" t="s">
        <v>535</v>
      </c>
      <c r="C93" s="78"/>
      <c r="D93" s="524"/>
      <c r="E93" s="524"/>
      <c r="F93" s="765"/>
      <c r="G93" s="764">
        <f>S3_archive.50_SEK</f>
        <v>350</v>
      </c>
      <c r="H93" s="765"/>
      <c r="I93" s="766"/>
      <c r="J93" s="767"/>
      <c r="K93" s="631">
        <f>I93*G93</f>
        <v>0</v>
      </c>
      <c r="L93" s="768"/>
      <c r="M93" s="702"/>
      <c r="N93" s="736"/>
    </row>
    <row r="94" spans="2:26" s="682" customFormat="1" ht="25" customHeight="1">
      <c r="B94" s="137" t="s">
        <v>494</v>
      </c>
      <c r="C94" s="41"/>
      <c r="D94" s="79"/>
      <c r="E94" s="79"/>
      <c r="F94" s="751"/>
      <c r="G94" s="650">
        <f>S3_storage50_SEK</f>
        <v>500</v>
      </c>
      <c r="H94" s="752"/>
      <c r="I94" s="770"/>
      <c r="J94" s="754"/>
      <c r="K94" s="858">
        <f>I94*G94</f>
        <v>0</v>
      </c>
      <c r="L94" s="8"/>
      <c r="M94" s="702"/>
      <c r="T94" s="689"/>
    </row>
    <row r="95" spans="2:26" s="903" customFormat="1" ht="25" customHeight="1">
      <c r="B95" s="899" t="s">
        <v>222</v>
      </c>
      <c r="C95" s="900"/>
      <c r="D95" s="900"/>
      <c r="E95" s="900"/>
      <c r="F95" s="900"/>
      <c r="G95" s="900"/>
      <c r="H95" s="900"/>
      <c r="I95" s="900"/>
      <c r="J95" s="900"/>
      <c r="K95" s="902">
        <f>SUM(K93:K94)</f>
        <v>0</v>
      </c>
      <c r="M95" s="904"/>
      <c r="P95" s="905"/>
      <c r="R95" s="905"/>
    </row>
    <row r="96" spans="2:26" ht="25" customHeight="1">
      <c r="B96" s="449"/>
      <c r="C96" s="17"/>
      <c r="D96" s="17"/>
      <c r="E96" s="17"/>
      <c r="F96" s="17"/>
      <c r="G96" s="713"/>
      <c r="H96" s="714"/>
      <c r="I96" s="714"/>
      <c r="M96" s="670"/>
      <c r="N96" s="689"/>
      <c r="O96" s="689"/>
      <c r="P96" s="698"/>
    </row>
    <row r="97" spans="2:26" s="723" customFormat="1" ht="25" hidden="1" customHeight="1">
      <c r="B97" s="416" t="s">
        <v>422</v>
      </c>
      <c r="C97" s="771"/>
      <c r="D97" s="771"/>
      <c r="E97" s="771"/>
      <c r="F97" s="771"/>
      <c r="G97" s="771"/>
      <c r="H97" s="27"/>
      <c r="I97" s="27"/>
      <c r="J97" s="27"/>
      <c r="K97" s="873"/>
      <c r="M97" s="670"/>
      <c r="N97" s="27"/>
      <c r="O97" s="27"/>
      <c r="P97" s="726"/>
      <c r="Q97" s="27"/>
      <c r="R97" s="727"/>
    </row>
    <row r="98" spans="2:26" s="4" customFormat="1" ht="25" hidden="1" customHeight="1">
      <c r="B98" s="444" t="s">
        <v>208</v>
      </c>
      <c r="C98" s="10" t="s">
        <v>224</v>
      </c>
      <c r="D98" s="981" t="s">
        <v>225</v>
      </c>
      <c r="E98" s="981"/>
      <c r="F98" s="981"/>
      <c r="G98" s="981"/>
      <c r="H98" s="981"/>
      <c r="I98" s="981"/>
      <c r="J98" s="131"/>
      <c r="K98" s="614"/>
      <c r="L98" s="687"/>
      <c r="M98" s="725"/>
      <c r="N98" s="682"/>
    </row>
    <row r="99" spans="2:26" s="769" customFormat="1" ht="25" hidden="1" customHeight="1">
      <c r="B99" s="466" t="s">
        <v>423</v>
      </c>
      <c r="C99" s="82"/>
      <c r="D99" s="25"/>
      <c r="E99" s="772" cm="1">
        <f t="array" ref="E99">_xlfn.IFS(H99&lt;50,D100,H99&lt;100,D101,H99&lt;500,D102,H99&lt;1000,D103,H99&gt;999,D104)</f>
        <v>185</v>
      </c>
      <c r="F99" s="772"/>
      <c r="G99" s="772"/>
      <c r="H99" s="958">
        <v>600</v>
      </c>
      <c r="I99" s="774" t="s">
        <v>84</v>
      </c>
      <c r="J99" s="775"/>
      <c r="K99" s="596" cm="1">
        <f t="array" ref="K99">_xlfn.IFS(H99&lt;1000,ROUNDUP(H99*E99,2),H99&gt;999,E99)</f>
        <v>111000</v>
      </c>
      <c r="L99" s="768"/>
      <c r="M99" s="702"/>
      <c r="N99" s="736"/>
    </row>
    <row r="100" spans="2:26" s="4" customFormat="1" ht="25" hidden="1" customHeight="1">
      <c r="B100" s="605" t="s">
        <v>423</v>
      </c>
      <c r="C100" s="606" t="s">
        <v>429</v>
      </c>
      <c r="D100" s="980">
        <f>S3_archive.50_SEK</f>
        <v>350</v>
      </c>
      <c r="E100" s="980"/>
      <c r="F100" s="980"/>
      <c r="G100" s="980"/>
      <c r="H100" s="980"/>
      <c r="I100" s="980"/>
      <c r="J100" s="916"/>
      <c r="K100" s="878"/>
      <c r="L100" s="687"/>
      <c r="M100" s="735"/>
      <c r="N100" s="682"/>
    </row>
    <row r="101" spans="2:26" s="4" customFormat="1" ht="25" hidden="1" customHeight="1">
      <c r="B101" s="617" t="s">
        <v>423</v>
      </c>
      <c r="C101" s="618" t="s">
        <v>430</v>
      </c>
      <c r="D101" s="978">
        <f>S3_archive.100_SEK</f>
        <v>270</v>
      </c>
      <c r="E101" s="978"/>
      <c r="F101" s="978"/>
      <c r="G101" s="978"/>
      <c r="H101" s="978"/>
      <c r="I101" s="978"/>
      <c r="J101" s="918"/>
      <c r="K101" s="879"/>
      <c r="L101" s="687"/>
      <c r="M101" s="702"/>
      <c r="N101" s="682"/>
    </row>
    <row r="102" spans="2:26" s="4" customFormat="1" ht="25" hidden="1" customHeight="1">
      <c r="B102" s="605" t="s">
        <v>423</v>
      </c>
      <c r="C102" s="606" t="s">
        <v>431</v>
      </c>
      <c r="D102" s="969">
        <f>S3_archive.500_SEK</f>
        <v>200</v>
      </c>
      <c r="E102" s="969"/>
      <c r="F102" s="969"/>
      <c r="G102" s="969"/>
      <c r="H102" s="969"/>
      <c r="I102" s="969"/>
      <c r="J102" s="919"/>
      <c r="K102" s="880"/>
      <c r="L102" s="687"/>
      <c r="M102" s="702"/>
      <c r="N102" s="682"/>
    </row>
    <row r="103" spans="2:26" s="4" customFormat="1" ht="25" hidden="1" customHeight="1">
      <c r="B103" s="617" t="s">
        <v>423</v>
      </c>
      <c r="C103" s="618" t="s">
        <v>432</v>
      </c>
      <c r="D103" s="978">
        <f>S3_archive.1000_SEK</f>
        <v>185</v>
      </c>
      <c r="E103" s="978"/>
      <c r="F103" s="978"/>
      <c r="G103" s="978"/>
      <c r="H103" s="978"/>
      <c r="I103" s="978"/>
      <c r="J103" s="918"/>
      <c r="K103" s="879"/>
      <c r="L103" s="687"/>
      <c r="M103" s="702"/>
      <c r="N103" s="682"/>
    </row>
    <row r="104" spans="2:26" s="4" customFormat="1" ht="25" hidden="1" customHeight="1">
      <c r="B104" s="609" t="s">
        <v>423</v>
      </c>
      <c r="C104" s="610" t="s">
        <v>433</v>
      </c>
      <c r="D104" s="979" t="str">
        <f>S3_archive.quote_SEK</f>
        <v>Be om offert</v>
      </c>
      <c r="E104" s="979"/>
      <c r="F104" s="979"/>
      <c r="G104" s="979"/>
      <c r="H104" s="979"/>
      <c r="I104" s="979"/>
      <c r="J104" s="917"/>
      <c r="K104" s="881"/>
      <c r="L104" s="687"/>
      <c r="M104" s="702"/>
      <c r="N104" s="682"/>
    </row>
    <row r="105" spans="2:26" s="4" customFormat="1" ht="25" hidden="1" customHeight="1">
      <c r="B105" s="448" t="s">
        <v>85</v>
      </c>
      <c r="C105" s="19"/>
      <c r="D105" s="19"/>
      <c r="E105" s="19"/>
      <c r="F105" s="708"/>
      <c r="G105" s="708"/>
      <c r="H105" s="709"/>
      <c r="I105" s="709"/>
      <c r="J105" s="776"/>
      <c r="K105" s="869">
        <f>K99</f>
        <v>111000</v>
      </c>
      <c r="L105" s="687"/>
      <c r="M105" s="702"/>
      <c r="N105" s="682"/>
    </row>
    <row r="106" spans="2:26" s="728" customFormat="1" ht="25" customHeight="1">
      <c r="B106" s="465"/>
      <c r="C106" s="19"/>
      <c r="D106" s="133"/>
      <c r="E106" s="133"/>
      <c r="F106" s="133"/>
      <c r="G106" s="684"/>
      <c r="H106" s="685"/>
      <c r="I106" s="709"/>
      <c r="J106" s="763"/>
      <c r="K106" s="863"/>
      <c r="L106" s="687"/>
      <c r="M106" s="702"/>
      <c r="N106" s="745"/>
      <c r="O106" s="745"/>
      <c r="P106" s="745"/>
      <c r="Q106" s="745"/>
      <c r="R106" s="745"/>
      <c r="S106" s="745"/>
    </row>
    <row r="107" spans="2:26" ht="25" customHeight="1">
      <c r="B107" s="639"/>
      <c r="C107" s="26"/>
      <c r="D107" s="26"/>
      <c r="E107" s="26"/>
      <c r="F107" s="777"/>
      <c r="G107" s="778"/>
      <c r="H107" s="756"/>
      <c r="I107" s="756"/>
      <c r="J107" s="779"/>
      <c r="K107" s="875"/>
      <c r="L107" s="758"/>
      <c r="M107" s="702"/>
      <c r="N107" s="682"/>
      <c r="Q107" s="4"/>
    </row>
    <row r="108" spans="2:26" s="4" customFormat="1" ht="25" customHeight="1">
      <c r="B108" s="967" t="s">
        <v>670</v>
      </c>
      <c r="C108" s="967"/>
      <c r="D108" s="967"/>
      <c r="E108" s="967"/>
      <c r="F108" s="967"/>
      <c r="G108" s="967"/>
      <c r="H108" s="679"/>
      <c r="J108" s="681"/>
      <c r="K108" s="862"/>
      <c r="L108" s="681"/>
      <c r="M108" s="674"/>
    </row>
    <row r="109" spans="2:26" s="4" customFormat="1" ht="25" customHeight="1">
      <c r="B109" s="967"/>
      <c r="C109" s="967"/>
      <c r="D109" s="967"/>
      <c r="E109" s="967"/>
      <c r="F109" s="967"/>
      <c r="G109" s="967"/>
      <c r="H109" s="679"/>
      <c r="J109" s="681"/>
      <c r="K109" s="862"/>
      <c r="L109" s="681"/>
      <c r="M109" s="674"/>
    </row>
    <row r="110" spans="2:26" s="4" customFormat="1" ht="25" customHeight="1">
      <c r="B110" s="967"/>
      <c r="C110" s="967"/>
      <c r="D110" s="967"/>
      <c r="E110" s="967"/>
      <c r="F110" s="967"/>
      <c r="G110" s="967"/>
      <c r="H110" s="679"/>
      <c r="J110" s="681"/>
      <c r="K110" s="862"/>
      <c r="L110" s="681"/>
      <c r="M110" s="674"/>
    </row>
    <row r="111" spans="2:26" s="4" customFormat="1" ht="25" customHeight="1">
      <c r="B111" s="551" t="s">
        <v>618</v>
      </c>
      <c r="C111" s="551"/>
      <c r="D111" s="551"/>
      <c r="E111" s="551"/>
      <c r="F111" s="551"/>
      <c r="H111" s="679"/>
      <c r="J111" s="681"/>
      <c r="K111" s="862"/>
      <c r="L111" s="681"/>
      <c r="M111" s="688"/>
    </row>
    <row r="112" spans="2:26" s="4" customFormat="1" ht="25" customHeight="1">
      <c r="B112" s="983" t="s">
        <v>608</v>
      </c>
      <c r="C112" s="983"/>
      <c r="D112" s="983"/>
      <c r="E112" s="983"/>
      <c r="F112" s="983"/>
      <c r="G112" s="684"/>
      <c r="H112" s="685"/>
      <c r="J112" s="686"/>
      <c r="K112" s="863"/>
      <c r="L112" s="687"/>
      <c r="M112" s="674"/>
      <c r="S112" s="682"/>
      <c r="T112" s="682"/>
      <c r="U112" s="682"/>
      <c r="V112" s="682"/>
      <c r="W112" s="682"/>
      <c r="X112" s="682"/>
      <c r="Y112" s="682"/>
      <c r="Z112" s="682"/>
    </row>
    <row r="113" spans="2:32" s="4" customFormat="1" ht="25" customHeight="1">
      <c r="B113" s="552" t="s">
        <v>400</v>
      </c>
      <c r="C113" s="553"/>
      <c r="D113" s="553"/>
      <c r="E113" s="553"/>
      <c r="F113" s="133"/>
      <c r="G113" s="684"/>
      <c r="H113" s="685"/>
      <c r="I113" s="684"/>
      <c r="J113" s="686"/>
      <c r="K113" s="863"/>
      <c r="L113" s="687"/>
      <c r="M113" s="688"/>
      <c r="S113" s="682"/>
      <c r="T113" s="682"/>
      <c r="U113" s="682"/>
      <c r="V113" s="682"/>
      <c r="W113" s="689"/>
      <c r="X113" s="8"/>
      <c r="Y113" s="682"/>
      <c r="Z113" s="682"/>
    </row>
    <row r="114" spans="2:32" s="728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73"/>
      <c r="L114" s="8"/>
      <c r="M114" s="780"/>
      <c r="P114" s="745"/>
      <c r="Q114" s="745"/>
      <c r="R114" s="745"/>
      <c r="S114" s="745"/>
      <c r="T114" s="745"/>
      <c r="U114" s="745"/>
    </row>
    <row r="115" spans="2:32" ht="25" customHeight="1">
      <c r="B115" s="444" t="s">
        <v>208</v>
      </c>
      <c r="C115" s="788"/>
      <c r="D115" s="788"/>
      <c r="E115" s="24" t="s">
        <v>286</v>
      </c>
      <c r="F115" s="788"/>
      <c r="G115" s="24" t="s">
        <v>620</v>
      </c>
      <c r="H115" s="24"/>
      <c r="I115" s="743" t="s">
        <v>612</v>
      </c>
      <c r="J115" s="743" t="s">
        <v>621</v>
      </c>
      <c r="K115" s="614" t="s">
        <v>92</v>
      </c>
      <c r="L115" s="737"/>
      <c r="M115" s="959" t="s">
        <v>622</v>
      </c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781">
        <f>BAAS_on.demand_SEK</f>
        <v>2.4500000000000002</v>
      </c>
      <c r="H116" s="399"/>
      <c r="I116" s="766"/>
      <c r="J116" s="908" t="s">
        <v>94</v>
      </c>
      <c r="K116" s="857">
        <f>ROUNDUP(I116*G116,2)</f>
        <v>0</v>
      </c>
      <c r="L116" s="737"/>
      <c r="M116" s="855" t="s">
        <v>623</v>
      </c>
    </row>
    <row r="117" spans="2:32" ht="25" customHeight="1">
      <c r="B117" s="137" t="s">
        <v>496</v>
      </c>
      <c r="C117" s="79"/>
      <c r="D117" s="79"/>
      <c r="E117" s="31">
        <v>5500</v>
      </c>
      <c r="F117" s="754"/>
      <c r="G117" s="782">
        <f>BAAS_small_SEK</f>
        <v>1.75</v>
      </c>
      <c r="H117" s="754"/>
      <c r="I117" s="783"/>
      <c r="J117" s="784">
        <v>0.75</v>
      </c>
      <c r="K117" s="858">
        <f>IF(I117&gt;0,$E$117+($G$117*(I117*(1-$J$117))),0)</f>
        <v>0</v>
      </c>
      <c r="L117" s="737"/>
      <c r="M117" s="856" t="s">
        <v>624</v>
      </c>
    </row>
    <row r="118" spans="2:32" s="785" customFormat="1" ht="25" customHeight="1">
      <c r="B118" s="466" t="s">
        <v>497</v>
      </c>
      <c r="C118" s="82"/>
      <c r="D118" s="82"/>
      <c r="E118" s="33">
        <v>9500</v>
      </c>
      <c r="F118" s="774"/>
      <c r="G118" s="781">
        <f>BAAS_large_SEK</f>
        <v>0.92</v>
      </c>
      <c r="H118" s="774"/>
      <c r="I118" s="773"/>
      <c r="J118" s="786">
        <v>0.75</v>
      </c>
      <c r="K118" s="596">
        <f>IF(I118&gt;0,$E$118+($G$118*(I118*(1-$J$118))),0)</f>
        <v>0</v>
      </c>
      <c r="L118" s="737"/>
      <c r="M118" s="855" t="s">
        <v>625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903" customFormat="1" ht="25" customHeight="1">
      <c r="B119" s="899" t="s">
        <v>222</v>
      </c>
      <c r="C119" s="900"/>
      <c r="D119" s="900"/>
      <c r="E119" s="900"/>
      <c r="F119" s="900"/>
      <c r="G119" s="900"/>
      <c r="H119" s="900"/>
      <c r="I119" s="900" t="str">
        <f>SUM(I116:I118)&amp;" GB"</f>
        <v>0 GB</v>
      </c>
      <c r="J119" s="900"/>
      <c r="K119" s="902">
        <f>SUM(K116:K118)</f>
        <v>0</v>
      </c>
      <c r="M119" s="904"/>
      <c r="P119" s="905"/>
      <c r="R119" s="905"/>
    </row>
    <row r="120" spans="2:32" s="785" customFormat="1" ht="25" customHeight="1">
      <c r="B120" s="448"/>
      <c r="C120" s="19"/>
      <c r="D120" s="19"/>
      <c r="E120" s="19"/>
      <c r="F120" s="907"/>
      <c r="G120" s="709"/>
      <c r="H120" s="709"/>
      <c r="I120" s="709"/>
      <c r="J120" s="709"/>
      <c r="K120" s="882"/>
      <c r="L120" s="776"/>
      <c r="M120" s="787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77"/>
      <c r="G121" s="778"/>
      <c r="H121" s="756"/>
      <c r="I121" s="756"/>
      <c r="J121" s="779"/>
      <c r="K121" s="875"/>
      <c r="L121" s="768"/>
      <c r="M121" s="780"/>
      <c r="N121" s="682"/>
    </row>
    <row r="122" spans="2:32" ht="25" customHeight="1">
      <c r="B122" s="639"/>
      <c r="C122" s="26"/>
      <c r="D122" s="26"/>
      <c r="E122" s="26"/>
      <c r="F122" s="777"/>
      <c r="G122" s="778"/>
      <c r="H122" s="756"/>
      <c r="I122" s="756"/>
      <c r="J122" s="779"/>
      <c r="K122" s="875"/>
      <c r="L122" s="758"/>
      <c r="M122" s="702"/>
      <c r="N122" s="682"/>
      <c r="Q122" s="4"/>
    </row>
    <row r="123" spans="2:32" s="4" customFormat="1" ht="25" customHeight="1">
      <c r="B123" s="967" t="s">
        <v>442</v>
      </c>
      <c r="C123" s="967"/>
      <c r="D123" s="967"/>
      <c r="E123" s="967"/>
      <c r="F123" s="967"/>
      <c r="G123" s="967"/>
      <c r="H123" s="679"/>
      <c r="J123" s="681"/>
      <c r="K123" s="862"/>
      <c r="L123" s="681"/>
      <c r="M123" s="674"/>
    </row>
    <row r="124" spans="2:32" s="4" customFormat="1" ht="25" customHeight="1">
      <c r="B124" s="967"/>
      <c r="C124" s="967"/>
      <c r="D124" s="967"/>
      <c r="E124" s="967"/>
      <c r="F124" s="967"/>
      <c r="G124" s="967"/>
      <c r="H124" s="679"/>
      <c r="J124" s="681"/>
      <c r="K124" s="862"/>
      <c r="L124" s="681"/>
      <c r="M124" s="674"/>
    </row>
    <row r="125" spans="2:32" s="4" customFormat="1" ht="25" customHeight="1">
      <c r="B125" s="967"/>
      <c r="C125" s="967"/>
      <c r="D125" s="967"/>
      <c r="E125" s="967"/>
      <c r="F125" s="967"/>
      <c r="G125" s="967"/>
      <c r="H125" s="679"/>
      <c r="J125" s="681"/>
      <c r="K125" s="862"/>
      <c r="L125" s="681"/>
      <c r="M125" s="674"/>
    </row>
    <row r="126" spans="2:32" s="4" customFormat="1" ht="25" customHeight="1">
      <c r="B126" s="551" t="s">
        <v>626</v>
      </c>
      <c r="C126" s="6"/>
      <c r="D126" s="6"/>
      <c r="E126" s="6"/>
      <c r="F126" s="6"/>
      <c r="H126" s="679"/>
      <c r="J126" s="681"/>
      <c r="K126" s="862"/>
      <c r="L126" s="681"/>
      <c r="M126" s="688"/>
    </row>
    <row r="127" spans="2:32" s="4" customFormat="1" ht="25" customHeight="1">
      <c r="B127" s="983" t="s">
        <v>664</v>
      </c>
      <c r="C127" s="983"/>
      <c r="D127" s="983"/>
      <c r="E127" s="983"/>
      <c r="F127" s="983"/>
      <c r="G127" s="684"/>
      <c r="H127" s="685"/>
      <c r="J127" s="686"/>
      <c r="K127" s="863"/>
      <c r="L127" s="687"/>
      <c r="M127" s="674"/>
      <c r="S127" s="682"/>
      <c r="T127" s="682"/>
      <c r="U127" s="682"/>
      <c r="V127" s="682"/>
      <c r="W127" s="682"/>
      <c r="X127" s="682"/>
      <c r="Y127" s="682"/>
      <c r="Z127" s="682"/>
    </row>
    <row r="128" spans="2:32" s="4" customFormat="1" ht="25" customHeight="1">
      <c r="B128" s="552" t="s">
        <v>651</v>
      </c>
      <c r="C128" s="553"/>
      <c r="D128" s="553"/>
      <c r="E128" s="553"/>
      <c r="F128" s="133"/>
      <c r="G128" s="684"/>
      <c r="H128" s="685"/>
      <c r="I128" s="684"/>
      <c r="J128" s="686"/>
      <c r="K128" s="863"/>
      <c r="L128" s="687"/>
      <c r="M128" s="688"/>
      <c r="S128" s="682"/>
      <c r="T128" s="682"/>
      <c r="U128" s="682"/>
      <c r="V128" s="682"/>
      <c r="W128" s="689"/>
      <c r="X128" s="8"/>
      <c r="Y128" s="682"/>
      <c r="Z128" s="682"/>
    </row>
    <row r="129" spans="2:32" s="728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73"/>
      <c r="L129" s="8"/>
      <c r="M129" s="780"/>
      <c r="P129" s="745"/>
      <c r="Q129" s="745"/>
      <c r="R129" s="745"/>
      <c r="S129" s="745"/>
      <c r="T129" s="745"/>
      <c r="U129" s="745"/>
    </row>
    <row r="130" spans="2:32" ht="25" customHeight="1">
      <c r="B130" s="444" t="s">
        <v>208</v>
      </c>
      <c r="C130" s="968" t="s">
        <v>627</v>
      </c>
      <c r="D130" s="968"/>
      <c r="E130" s="968" t="s">
        <v>628</v>
      </c>
      <c r="F130" s="968"/>
      <c r="G130" s="968" t="s">
        <v>286</v>
      </c>
      <c r="H130" s="968"/>
      <c r="I130" s="24"/>
      <c r="J130" s="24"/>
      <c r="K130" s="614" t="s">
        <v>92</v>
      </c>
      <c r="L130" s="737"/>
      <c r="M130" s="960"/>
    </row>
    <row r="131" spans="2:32" ht="25" customHeight="1">
      <c r="B131" s="853" t="s">
        <v>498</v>
      </c>
      <c r="C131" s="974" t="s">
        <v>575</v>
      </c>
      <c r="D131" s="974"/>
      <c r="E131" s="976" t="s">
        <v>650</v>
      </c>
      <c r="F131" s="976"/>
      <c r="G131" s="970">
        <v>15000</v>
      </c>
      <c r="H131" s="971"/>
      <c r="I131" s="766"/>
      <c r="J131" s="962">
        <v>2</v>
      </c>
      <c r="K131" s="883" t="str">
        <f>IF(J131=1,G131," ")</f>
        <v xml:space="preserve"> </v>
      </c>
      <c r="L131" s="737"/>
      <c r="M131" s="789"/>
    </row>
    <row r="132" spans="2:32" ht="25" customHeight="1">
      <c r="B132" s="137" t="s">
        <v>499</v>
      </c>
      <c r="C132" s="975" t="s">
        <v>629</v>
      </c>
      <c r="D132" s="975"/>
      <c r="E132" s="977" t="s">
        <v>630</v>
      </c>
      <c r="F132" s="977"/>
      <c r="G132" s="972">
        <v>24000</v>
      </c>
      <c r="H132" s="973"/>
      <c r="I132" s="770"/>
      <c r="J132" s="754"/>
      <c r="K132" s="884" t="str">
        <f>IF(J131=3,G132," ")</f>
        <v xml:space="preserve"> </v>
      </c>
      <c r="L132" s="737"/>
      <c r="M132" s="790"/>
    </row>
    <row r="133" spans="2:32" s="903" customFormat="1" ht="25" customHeight="1">
      <c r="B133" s="899" t="s">
        <v>222</v>
      </c>
      <c r="C133" s="900"/>
      <c r="D133" s="900"/>
      <c r="E133" s="900"/>
      <c r="F133" s="900"/>
      <c r="G133" s="900"/>
      <c r="H133" s="900"/>
      <c r="I133" s="961"/>
      <c r="J133" s="900"/>
      <c r="K133" s="902">
        <f>SUM(K131:K132)</f>
        <v>0</v>
      </c>
      <c r="M133" s="904"/>
      <c r="P133" s="905"/>
      <c r="R133" s="905"/>
    </row>
    <row r="134" spans="2:32" s="785" customFormat="1" ht="25" customHeight="1">
      <c r="B134" s="448"/>
      <c r="C134" s="709"/>
      <c r="D134" s="708"/>
      <c r="E134" s="708"/>
      <c r="F134" s="708"/>
      <c r="G134" s="709"/>
      <c r="H134" s="709"/>
      <c r="I134" s="709"/>
      <c r="J134" s="709"/>
      <c r="K134" s="869"/>
      <c r="L134" s="737"/>
      <c r="M134" s="787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85" customFormat="1" ht="25" customHeight="1">
      <c r="B135" s="448"/>
      <c r="C135" s="19"/>
      <c r="D135" s="19"/>
      <c r="E135" s="19"/>
      <c r="F135" s="708"/>
      <c r="G135" s="709"/>
      <c r="H135" s="709"/>
      <c r="I135" s="709"/>
      <c r="J135" s="709"/>
      <c r="K135" s="882"/>
      <c r="L135" s="776"/>
      <c r="M135" s="787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8" customFormat="1" ht="25" customHeight="1">
      <c r="B136" s="465"/>
      <c r="C136" s="19"/>
      <c r="D136" s="133"/>
      <c r="E136" s="133"/>
      <c r="F136" s="133"/>
      <c r="G136" s="684"/>
      <c r="H136" s="685"/>
      <c r="I136" s="684"/>
      <c r="J136" s="763"/>
      <c r="K136" s="863"/>
      <c r="L136" s="687"/>
      <c r="M136" s="702"/>
      <c r="N136" s="745"/>
      <c r="O136" s="745"/>
      <c r="P136" s="745"/>
      <c r="Q136" s="745"/>
      <c r="R136" s="745"/>
      <c r="S136" s="745"/>
    </row>
    <row r="137" spans="2:32" s="4" customFormat="1" ht="25" customHeight="1">
      <c r="B137" s="967" t="s">
        <v>292</v>
      </c>
      <c r="C137" s="967"/>
      <c r="D137" s="967"/>
      <c r="E137" s="967"/>
      <c r="F137" s="967"/>
      <c r="G137" s="967"/>
      <c r="H137" s="679"/>
      <c r="J137" s="681"/>
      <c r="K137" s="862"/>
      <c r="M137" s="702"/>
    </row>
    <row r="138" spans="2:32" s="4" customFormat="1" ht="25" customHeight="1">
      <c r="B138" s="967"/>
      <c r="C138" s="967"/>
      <c r="D138" s="967"/>
      <c r="E138" s="967"/>
      <c r="F138" s="967"/>
      <c r="G138" s="967"/>
      <c r="H138" s="679"/>
      <c r="J138" s="681"/>
      <c r="K138" s="862"/>
      <c r="M138" s="702"/>
    </row>
    <row r="139" spans="2:32" s="4" customFormat="1" ht="25" customHeight="1">
      <c r="B139" s="967"/>
      <c r="C139" s="967"/>
      <c r="D139" s="967"/>
      <c r="E139" s="967"/>
      <c r="F139" s="967"/>
      <c r="G139" s="967"/>
      <c r="H139" s="679"/>
      <c r="J139" s="681"/>
      <c r="K139" s="862"/>
      <c r="M139" s="702"/>
    </row>
    <row r="140" spans="2:32" s="4" customFormat="1" ht="25" customHeight="1">
      <c r="B140" s="983" t="s">
        <v>608</v>
      </c>
      <c r="C140" s="983"/>
      <c r="D140" s="983"/>
      <c r="E140" s="983"/>
      <c r="F140" s="983"/>
      <c r="G140" s="684"/>
      <c r="H140" s="685"/>
      <c r="J140" s="686"/>
      <c r="K140" s="863"/>
      <c r="L140" s="687"/>
      <c r="M140" s="674"/>
      <c r="S140" s="682"/>
      <c r="T140" s="682"/>
      <c r="U140" s="682"/>
      <c r="V140" s="682"/>
      <c r="W140" s="682"/>
      <c r="X140" s="682"/>
      <c r="Y140" s="682"/>
      <c r="Z140" s="682"/>
    </row>
    <row r="141" spans="2:32" s="4" customFormat="1" ht="25" customHeight="1">
      <c r="B141" s="1059"/>
      <c r="C141" s="1059"/>
      <c r="D141" s="1059"/>
      <c r="E141" s="1059"/>
      <c r="F141" s="1059"/>
      <c r="G141" s="684"/>
      <c r="H141" s="685"/>
      <c r="I141" s="684"/>
      <c r="J141" s="686"/>
      <c r="K141" s="863"/>
      <c r="L141" s="684"/>
      <c r="M141" s="702"/>
    </row>
    <row r="142" spans="2:32" s="4" customFormat="1" ht="25" customHeight="1">
      <c r="B142" s="465"/>
      <c r="C142" s="133"/>
      <c r="D142" s="133"/>
      <c r="E142" s="133"/>
      <c r="F142" s="133"/>
      <c r="G142" s="684"/>
      <c r="H142" s="685"/>
      <c r="I142" s="684"/>
      <c r="J142" s="686"/>
      <c r="K142" s="863"/>
      <c r="L142" s="684"/>
      <c r="M142" s="702"/>
    </row>
    <row r="143" spans="2:32" s="8" customFormat="1" ht="25" customHeight="1">
      <c r="B143" s="651" t="s">
        <v>293</v>
      </c>
      <c r="C143" s="133"/>
      <c r="D143" s="133"/>
      <c r="E143" s="133"/>
      <c r="F143" s="133"/>
      <c r="G143" s="684"/>
      <c r="H143" s="684"/>
      <c r="I143" s="684"/>
      <c r="J143" s="686"/>
      <c r="K143" s="863"/>
      <c r="L143" s="684"/>
      <c r="M143" s="702"/>
      <c r="N143" s="682"/>
      <c r="O143" s="682"/>
      <c r="P143" s="682"/>
      <c r="Q143" s="682"/>
      <c r="R143" s="682"/>
      <c r="S143" s="682"/>
    </row>
    <row r="144" spans="2:32" ht="25" customHeight="1">
      <c r="B144" s="630" t="s">
        <v>631</v>
      </c>
      <c r="M144" s="695"/>
    </row>
    <row r="145" spans="2:18" ht="25" customHeight="1">
      <c r="B145" s="470" t="s">
        <v>208</v>
      </c>
      <c r="C145" s="23" t="s">
        <v>632</v>
      </c>
      <c r="D145" s="23"/>
      <c r="E145" s="24" t="s">
        <v>276</v>
      </c>
      <c r="F145" s="24"/>
      <c r="G145" s="24"/>
      <c r="H145" s="24"/>
      <c r="I145" s="24"/>
      <c r="J145" s="23" t="s">
        <v>634</v>
      </c>
      <c r="K145" s="614" t="s">
        <v>269</v>
      </c>
      <c r="L145" s="13"/>
      <c r="M145" s="702"/>
      <c r="N145" s="758"/>
      <c r="O145" s="8"/>
    </row>
    <row r="146" spans="2:18" ht="25" customHeight="1">
      <c r="B146" s="134" t="s">
        <v>500</v>
      </c>
      <c r="C146" s="129" t="s">
        <v>105</v>
      </c>
      <c r="D146" s="129"/>
      <c r="E146" s="39" t="s">
        <v>106</v>
      </c>
      <c r="F146" s="30"/>
      <c r="G146" s="30"/>
      <c r="H146" s="30"/>
      <c r="I146" s="30"/>
      <c r="J146" s="791" t="s">
        <v>107</v>
      </c>
      <c r="K146" s="857">
        <f>NET_publicv4_SEK</f>
        <v>25</v>
      </c>
      <c r="M146" s="702"/>
      <c r="N146" s="758"/>
      <c r="O146" s="8"/>
    </row>
    <row r="147" spans="2:18" ht="25" customHeight="1">
      <c r="B147" s="137" t="s">
        <v>501</v>
      </c>
      <c r="C147" s="130" t="s">
        <v>109</v>
      </c>
      <c r="D147" s="130"/>
      <c r="E147" s="41" t="s">
        <v>106</v>
      </c>
      <c r="F147" s="792"/>
      <c r="G147" s="792"/>
      <c r="H147" s="792"/>
      <c r="I147" s="792"/>
      <c r="J147" s="793" t="s">
        <v>94</v>
      </c>
      <c r="K147" s="556">
        <f>NET_publicv6_SEK</f>
        <v>0</v>
      </c>
      <c r="M147" s="702"/>
      <c r="N147" s="758"/>
      <c r="O147" s="8"/>
    </row>
    <row r="148" spans="2:18" ht="25" customHeight="1">
      <c r="B148" s="134" t="s">
        <v>502</v>
      </c>
      <c r="C148" s="129" t="s">
        <v>296</v>
      </c>
      <c r="D148" s="129"/>
      <c r="E148" s="148"/>
      <c r="F148" s="37"/>
      <c r="G148" s="37"/>
      <c r="H148" s="37"/>
      <c r="I148" s="37"/>
      <c r="J148" s="791" t="s">
        <v>69</v>
      </c>
      <c r="K148" s="557">
        <f>NET_ingress_SEK</f>
        <v>0</v>
      </c>
      <c r="M148" s="702"/>
      <c r="N148" s="758"/>
      <c r="O148" s="8"/>
    </row>
    <row r="149" spans="2:18" ht="25" customHeight="1">
      <c r="B149" s="137" t="s">
        <v>503</v>
      </c>
      <c r="C149" s="130" t="s">
        <v>296</v>
      </c>
      <c r="D149" s="130"/>
      <c r="E149" s="41" t="s">
        <v>297</v>
      </c>
      <c r="F149" s="792"/>
      <c r="G149" s="792"/>
      <c r="H149" s="792"/>
      <c r="I149" s="792"/>
      <c r="J149" s="794" t="s">
        <v>69</v>
      </c>
      <c r="K149" s="556">
        <f>NET_egress_SEK</f>
        <v>0.25</v>
      </c>
      <c r="M149" s="702"/>
      <c r="N149" s="758"/>
      <c r="O149" s="8"/>
    </row>
    <row r="150" spans="2:18" ht="25" customHeight="1">
      <c r="B150" s="134" t="s">
        <v>504</v>
      </c>
      <c r="C150" s="129" t="s">
        <v>115</v>
      </c>
      <c r="D150" s="129"/>
      <c r="E150" s="30" t="s">
        <v>633</v>
      </c>
      <c r="F150" s="37"/>
      <c r="G150" s="37"/>
      <c r="H150" s="37"/>
      <c r="I150" s="37"/>
      <c r="J150" s="791" t="s">
        <v>240</v>
      </c>
      <c r="K150" s="557" t="s">
        <v>635</v>
      </c>
      <c r="M150" s="702"/>
    </row>
    <row r="151" spans="2:18" ht="25" customHeight="1">
      <c r="B151" s="137" t="s">
        <v>505</v>
      </c>
      <c r="C151" s="130" t="s">
        <v>118</v>
      </c>
      <c r="D151" s="130"/>
      <c r="E151" s="41"/>
      <c r="F151" s="792"/>
      <c r="G151" s="792"/>
      <c r="H151" s="792"/>
      <c r="I151" s="792"/>
      <c r="J151" s="793" t="s">
        <v>94</v>
      </c>
      <c r="K151" s="556">
        <f>NET_rdns_SEK</f>
        <v>0</v>
      </c>
      <c r="M151" s="702"/>
      <c r="N151" s="758"/>
      <c r="O151" s="8"/>
    </row>
    <row r="152" spans="2:18" ht="25" customHeight="1">
      <c r="B152" s="134" t="s">
        <v>506</v>
      </c>
      <c r="C152" s="129" t="s">
        <v>121</v>
      </c>
      <c r="D152" s="129"/>
      <c r="E152" s="30"/>
      <c r="F152" s="37"/>
      <c r="G152" s="37"/>
      <c r="H152" s="37"/>
      <c r="I152" s="37"/>
      <c r="J152" s="796" t="s">
        <v>94</v>
      </c>
      <c r="K152" s="557">
        <v>0</v>
      </c>
      <c r="M152" s="702"/>
      <c r="N152" s="758"/>
      <c r="O152" s="8"/>
    </row>
    <row r="153" spans="2:18" ht="25" customHeight="1">
      <c r="B153" s="641"/>
      <c r="C153" s="141"/>
      <c r="D153" s="142"/>
      <c r="E153" s="142"/>
      <c r="F153" s="142"/>
      <c r="G153" s="142"/>
      <c r="H153" s="142"/>
      <c r="I153" s="142"/>
      <c r="J153" s="141"/>
      <c r="K153" s="885"/>
      <c r="M153" s="702"/>
      <c r="N153" s="758"/>
      <c r="O153" s="8"/>
    </row>
    <row r="154" spans="2:18" ht="25" customHeight="1">
      <c r="C154" s="43"/>
      <c r="J154" s="43"/>
      <c r="M154" s="702"/>
      <c r="N154" s="758"/>
      <c r="O154" s="8"/>
    </row>
    <row r="155" spans="2:18" ht="25" customHeight="1">
      <c r="C155" s="43"/>
      <c r="J155" s="43"/>
      <c r="M155" s="702"/>
      <c r="N155" s="758"/>
      <c r="O155" s="8"/>
    </row>
    <row r="156" spans="2:18" ht="25" customHeight="1">
      <c r="B156" s="651" t="s">
        <v>298</v>
      </c>
      <c r="C156" s="13"/>
      <c r="D156" s="13"/>
      <c r="E156" s="13"/>
      <c r="F156" s="13"/>
      <c r="G156" s="13"/>
      <c r="H156" s="13"/>
      <c r="I156" s="13"/>
      <c r="J156" s="797"/>
      <c r="M156" s="702"/>
      <c r="N156" s="758"/>
      <c r="O156" s="8"/>
    </row>
    <row r="157" spans="2:18" ht="25" customHeight="1">
      <c r="B157" s="630" t="s">
        <v>636</v>
      </c>
      <c r="M157" s="695"/>
    </row>
    <row r="158" spans="2:18" ht="25" customHeight="1">
      <c r="B158" s="470" t="s">
        <v>208</v>
      </c>
      <c r="C158" s="23"/>
      <c r="D158" s="23"/>
      <c r="E158" s="24" t="s">
        <v>276</v>
      </c>
      <c r="F158" s="24"/>
      <c r="G158" s="24"/>
      <c r="H158" s="24"/>
      <c r="I158" s="24"/>
      <c r="J158" s="23" t="s">
        <v>634</v>
      </c>
      <c r="K158" s="614" t="s">
        <v>269</v>
      </c>
      <c r="M158" s="702"/>
      <c r="N158" s="758"/>
      <c r="O158" s="8"/>
    </row>
    <row r="159" spans="2:18" ht="25" customHeight="1">
      <c r="B159" s="134" t="s">
        <v>507</v>
      </c>
      <c r="C159" s="129"/>
      <c r="D159" s="30"/>
      <c r="E159" s="30" t="s">
        <v>123</v>
      </c>
      <c r="F159" s="30"/>
      <c r="G159" s="30"/>
      <c r="H159" s="30"/>
      <c r="I159" s="30"/>
      <c r="J159" s="791" t="s">
        <v>10</v>
      </c>
      <c r="K159" s="857">
        <f>SW_win.ser.201X_SEK</f>
        <v>78</v>
      </c>
      <c r="L159" s="756"/>
      <c r="M159" s="702"/>
      <c r="N159" s="758"/>
      <c r="O159" s="8"/>
      <c r="Q159" s="682"/>
      <c r="R159" s="682"/>
    </row>
    <row r="160" spans="2:18" ht="25" customHeight="1">
      <c r="B160" s="137" t="s">
        <v>508</v>
      </c>
      <c r="C160" s="130"/>
      <c r="D160" s="38"/>
      <c r="E160" s="38" t="s">
        <v>125</v>
      </c>
      <c r="F160" s="792"/>
      <c r="G160" s="792"/>
      <c r="H160" s="792"/>
      <c r="I160" s="792"/>
      <c r="J160" s="794" t="s">
        <v>10</v>
      </c>
      <c r="K160" s="858">
        <f>SW_win.ser.201X_SEK</f>
        <v>78</v>
      </c>
      <c r="L160" s="756"/>
      <c r="M160" s="702"/>
      <c r="N160" s="758"/>
      <c r="O160" s="8"/>
      <c r="Q160" s="682"/>
      <c r="R160" s="682"/>
    </row>
    <row r="161" spans="2:18" ht="25" customHeight="1">
      <c r="B161" s="134" t="s">
        <v>665</v>
      </c>
      <c r="C161" s="129"/>
      <c r="D161" s="30"/>
      <c r="E161" s="30" t="s">
        <v>666</v>
      </c>
      <c r="F161" s="30"/>
      <c r="G161" s="30"/>
      <c r="H161" s="30"/>
      <c r="I161" s="30"/>
      <c r="J161" s="791" t="s">
        <v>10</v>
      </c>
      <c r="K161" s="857">
        <f>SW_win.ser.201X_SEK</f>
        <v>78</v>
      </c>
      <c r="L161" s="756"/>
      <c r="M161" s="702"/>
      <c r="N161" s="758"/>
      <c r="O161" s="8"/>
      <c r="Q161" s="682"/>
      <c r="R161" s="682"/>
    </row>
    <row r="162" spans="2:18" s="4" customFormat="1" ht="25" customHeight="1">
      <c r="B162" s="137" t="s">
        <v>509</v>
      </c>
      <c r="C162" s="130"/>
      <c r="D162" s="38"/>
      <c r="E162" s="38" t="s">
        <v>417</v>
      </c>
      <c r="F162" s="792"/>
      <c r="G162" s="792"/>
      <c r="H162" s="792"/>
      <c r="I162" s="792"/>
      <c r="J162" s="794" t="s">
        <v>10</v>
      </c>
      <c r="K162" s="858">
        <f>SW_ms.sql.ser_SEK</f>
        <v>1498</v>
      </c>
      <c r="M162" s="702"/>
      <c r="N162" s="758"/>
      <c r="O162" s="8"/>
    </row>
    <row r="163" spans="2:18" ht="25" customHeight="1">
      <c r="B163" s="134" t="s">
        <v>510</v>
      </c>
      <c r="C163" s="129"/>
      <c r="D163" s="30"/>
      <c r="E163" s="30" t="s">
        <v>131</v>
      </c>
      <c r="F163" s="30"/>
      <c r="G163" s="30"/>
      <c r="H163" s="30"/>
      <c r="I163" s="30"/>
      <c r="J163" s="791" t="s">
        <v>94</v>
      </c>
      <c r="K163" s="857" t="s">
        <v>635</v>
      </c>
      <c r="L163" s="756"/>
      <c r="M163" s="702"/>
      <c r="N163" s="758"/>
      <c r="O163" s="8"/>
      <c r="Q163" s="682"/>
      <c r="R163" s="682"/>
    </row>
    <row r="164" spans="2:18" s="4" customFormat="1" ht="25" customHeight="1">
      <c r="B164" s="137" t="s">
        <v>511</v>
      </c>
      <c r="C164" s="130"/>
      <c r="D164" s="38"/>
      <c r="E164" s="38" t="s">
        <v>133</v>
      </c>
      <c r="F164" s="792"/>
      <c r="G164" s="792"/>
      <c r="H164" s="792"/>
      <c r="I164" s="792"/>
      <c r="J164" s="794" t="s">
        <v>94</v>
      </c>
      <c r="K164" s="858" t="s">
        <v>635</v>
      </c>
      <c r="M164" s="702"/>
      <c r="N164" s="758"/>
      <c r="O164" s="8"/>
    </row>
    <row r="165" spans="2:18" ht="25" customHeight="1">
      <c r="B165" s="134" t="s">
        <v>512</v>
      </c>
      <c r="C165" s="129"/>
      <c r="D165" s="30"/>
      <c r="E165" s="30" t="s">
        <v>135</v>
      </c>
      <c r="F165" s="30"/>
      <c r="G165" s="30"/>
      <c r="H165" s="30"/>
      <c r="I165" s="30"/>
      <c r="J165" s="791" t="s">
        <v>94</v>
      </c>
      <c r="K165" s="857" t="str">
        <f>SW_cluster.control_SEK</f>
        <v>3x instanspris</v>
      </c>
      <c r="M165" s="702"/>
      <c r="N165" s="758"/>
      <c r="O165" s="8"/>
    </row>
    <row r="166" spans="2:18" ht="25" customHeight="1">
      <c r="B166" s="137" t="s">
        <v>513</v>
      </c>
      <c r="C166" s="130"/>
      <c r="D166" s="38"/>
      <c r="E166" s="38" t="s">
        <v>137</v>
      </c>
      <c r="F166" s="792"/>
      <c r="G166" s="792"/>
      <c r="H166" s="792"/>
      <c r="I166" s="792"/>
      <c r="J166" s="794" t="s">
        <v>138</v>
      </c>
      <c r="K166" s="858">
        <f>SW_backup.ninja_SEK</f>
        <v>400</v>
      </c>
      <c r="M166" s="702"/>
      <c r="N166" s="758"/>
      <c r="O166" s="8"/>
    </row>
    <row r="167" spans="2:18" ht="25" customHeight="1">
      <c r="B167" s="106"/>
      <c r="C167" s="103"/>
      <c r="D167" s="104"/>
      <c r="E167" s="105"/>
      <c r="F167" s="798"/>
      <c r="G167" s="798"/>
      <c r="H167" s="798"/>
      <c r="I167" s="798"/>
      <c r="J167" s="799"/>
      <c r="K167" s="886"/>
      <c r="M167" s="702"/>
      <c r="N167" s="758"/>
      <c r="O167" s="8"/>
    </row>
    <row r="168" spans="2:18" ht="25" customHeight="1">
      <c r="B168" s="137"/>
      <c r="C168" s="130"/>
      <c r="D168" s="41"/>
      <c r="E168" s="31"/>
      <c r="F168" s="792"/>
      <c r="G168" s="792"/>
      <c r="H168" s="792"/>
      <c r="I168" s="792"/>
      <c r="J168" s="800"/>
      <c r="K168" s="556"/>
      <c r="M168" s="702"/>
      <c r="N168" s="758"/>
      <c r="O168" s="8"/>
    </row>
    <row r="169" spans="2:18" ht="25" customHeight="1">
      <c r="M169" s="702"/>
      <c r="N169" s="758"/>
      <c r="O169" s="8"/>
    </row>
    <row r="170" spans="2:18" ht="25" customHeight="1">
      <c r="B170" s="651" t="s">
        <v>637</v>
      </c>
      <c r="C170" s="13"/>
      <c r="D170" s="13"/>
      <c r="F170" s="13"/>
      <c r="G170" s="13"/>
      <c r="H170" s="13"/>
      <c r="I170" s="13"/>
      <c r="J170" s="13"/>
      <c r="M170" s="702"/>
      <c r="N170" s="758"/>
      <c r="O170" s="8"/>
    </row>
    <row r="171" spans="2:18" ht="25" customHeight="1">
      <c r="B171" s="630" t="s">
        <v>638</v>
      </c>
      <c r="M171" s="695"/>
    </row>
    <row r="172" spans="2:18" ht="25" customHeight="1">
      <c r="B172" s="470" t="s">
        <v>208</v>
      </c>
      <c r="C172" s="23"/>
      <c r="D172" s="23"/>
      <c r="E172" s="24" t="s">
        <v>276</v>
      </c>
      <c r="F172" s="24"/>
      <c r="G172" s="24"/>
      <c r="H172" s="24"/>
      <c r="I172" s="24"/>
      <c r="J172" s="131"/>
      <c r="K172" s="614" t="s">
        <v>269</v>
      </c>
      <c r="M172" s="702"/>
      <c r="N172" s="758"/>
      <c r="O172" s="8"/>
    </row>
    <row r="173" spans="2:18" ht="25" customHeight="1">
      <c r="B173" s="134" t="s">
        <v>499</v>
      </c>
      <c r="C173" s="129"/>
      <c r="D173" s="30"/>
      <c r="E173" s="30" t="s">
        <v>414</v>
      </c>
      <c r="F173" s="30"/>
      <c r="G173" s="30"/>
      <c r="H173" s="30"/>
      <c r="I173" s="30"/>
      <c r="J173" s="40"/>
      <c r="K173" s="898">
        <f>PAAS_man.kubernetes_SEK</f>
        <v>24000</v>
      </c>
      <c r="M173" s="702"/>
      <c r="N173" s="758"/>
      <c r="O173" s="8"/>
    </row>
    <row r="174" spans="2:18" ht="25" customHeight="1">
      <c r="B174" s="137" t="s">
        <v>514</v>
      </c>
      <c r="C174" s="130"/>
      <c r="D174" s="38"/>
      <c r="E174" s="38" t="s">
        <v>415</v>
      </c>
      <c r="F174" s="792"/>
      <c r="G174" s="792"/>
      <c r="H174" s="792"/>
      <c r="I174" s="792"/>
      <c r="J174" s="800"/>
      <c r="K174" s="858">
        <f>PAAS_man.postgres.sql_SEK</f>
        <v>15000</v>
      </c>
      <c r="M174" s="702"/>
      <c r="N174" s="758"/>
      <c r="O174" s="8"/>
    </row>
    <row r="175" spans="2:18" ht="25" customHeight="1">
      <c r="B175" s="134" t="s">
        <v>515</v>
      </c>
      <c r="C175" s="129"/>
      <c r="D175" s="30"/>
      <c r="E175" s="30" t="s">
        <v>416</v>
      </c>
      <c r="F175" s="30"/>
      <c r="G175" s="30"/>
      <c r="H175" s="30"/>
      <c r="I175" s="30"/>
      <c r="J175" s="40"/>
      <c r="K175" s="557" t="s">
        <v>635</v>
      </c>
      <c r="M175" s="702"/>
      <c r="N175" s="758"/>
      <c r="O175" s="8"/>
    </row>
    <row r="176" spans="2:18" ht="25" customHeight="1">
      <c r="B176" s="137" t="s">
        <v>516</v>
      </c>
      <c r="C176" s="130"/>
      <c r="D176" s="38"/>
      <c r="E176" s="38" t="s">
        <v>436</v>
      </c>
      <c r="F176" s="792"/>
      <c r="G176" s="792"/>
      <c r="H176" s="792"/>
      <c r="I176" s="792"/>
      <c r="J176" s="800"/>
      <c r="K176" s="556">
        <f>PAAS_openshift_SEK</f>
        <v>0</v>
      </c>
      <c r="M176" s="702"/>
      <c r="N176" s="758"/>
      <c r="O176" s="8"/>
    </row>
    <row r="177" spans="2:20" ht="25" customHeight="1">
      <c r="B177" s="134" t="s">
        <v>517</v>
      </c>
      <c r="C177" s="129"/>
      <c r="D177" s="30"/>
      <c r="E177" s="30" t="s">
        <v>147</v>
      </c>
      <c r="F177" s="30"/>
      <c r="G177" s="30"/>
      <c r="H177" s="30"/>
      <c r="I177" s="30"/>
      <c r="J177" s="40"/>
      <c r="K177" s="557" t="s">
        <v>635</v>
      </c>
      <c r="M177" s="702"/>
      <c r="N177" s="758"/>
      <c r="O177" s="8"/>
    </row>
    <row r="178" spans="2:20" ht="25" customHeight="1">
      <c r="B178" s="137" t="s">
        <v>518</v>
      </c>
      <c r="C178" s="130"/>
      <c r="D178" s="38"/>
      <c r="E178" s="38" t="s">
        <v>150</v>
      </c>
      <c r="F178" s="792"/>
      <c r="G178" s="792"/>
      <c r="H178" s="792"/>
      <c r="I178" s="792"/>
      <c r="J178" s="800"/>
      <c r="K178" s="556" t="s">
        <v>635</v>
      </c>
      <c r="M178" s="702"/>
      <c r="N178" s="758"/>
      <c r="O178" s="8"/>
    </row>
    <row r="179" spans="2:20" ht="25" customHeight="1">
      <c r="B179" s="134" t="s">
        <v>451</v>
      </c>
      <c r="C179" s="129"/>
      <c r="D179" s="30"/>
      <c r="E179" s="30" t="s">
        <v>144</v>
      </c>
      <c r="F179" s="30"/>
      <c r="G179" s="30"/>
      <c r="H179" s="30"/>
      <c r="I179" s="30"/>
      <c r="J179" s="40"/>
      <c r="K179" s="557" t="s">
        <v>635</v>
      </c>
      <c r="M179" s="702"/>
      <c r="N179" s="758"/>
      <c r="O179" s="8"/>
    </row>
    <row r="180" spans="2:20" ht="25" customHeight="1">
      <c r="B180" s="106"/>
      <c r="C180" s="103"/>
      <c r="D180" s="397"/>
      <c r="E180" s="105"/>
      <c r="F180" s="798"/>
      <c r="G180" s="798"/>
      <c r="H180" s="798"/>
      <c r="I180" s="798"/>
      <c r="J180" s="799"/>
      <c r="K180" s="886"/>
      <c r="M180" s="702"/>
      <c r="N180" s="758"/>
      <c r="O180" s="8"/>
    </row>
    <row r="181" spans="2:20" ht="25" customHeight="1">
      <c r="B181" s="137"/>
      <c r="C181" s="130"/>
      <c r="D181" s="38"/>
      <c r="E181" s="31"/>
      <c r="F181" s="792"/>
      <c r="G181" s="800"/>
      <c r="H181" s="794"/>
      <c r="I181" s="441"/>
      <c r="M181" s="702"/>
    </row>
    <row r="182" spans="2:20" ht="25" customHeight="1">
      <c r="B182" s="417"/>
      <c r="C182" s="26"/>
      <c r="D182" s="26"/>
      <c r="E182" s="26"/>
      <c r="F182" s="777"/>
      <c r="G182" s="778"/>
      <c r="H182" s="26"/>
      <c r="I182" s="756"/>
      <c r="J182" s="756"/>
      <c r="K182" s="875"/>
      <c r="L182" s="758"/>
      <c r="M182" s="702"/>
      <c r="N182" s="682"/>
      <c r="O182" s="682"/>
    </row>
    <row r="183" spans="2:20" s="4" customFormat="1" ht="25" customHeight="1">
      <c r="B183" s="967" t="s">
        <v>300</v>
      </c>
      <c r="C183" s="967"/>
      <c r="D183" s="967"/>
      <c r="E183" s="967"/>
      <c r="F183" s="967"/>
      <c r="G183" s="967"/>
      <c r="H183" s="801"/>
      <c r="J183" s="681"/>
      <c r="K183" s="862"/>
      <c r="M183" s="702"/>
    </row>
    <row r="184" spans="2:20" s="4" customFormat="1" ht="25" customHeight="1">
      <c r="B184" s="967"/>
      <c r="C184" s="967"/>
      <c r="D184" s="967"/>
      <c r="E184" s="967"/>
      <c r="F184" s="967"/>
      <c r="G184" s="967"/>
      <c r="H184" s="801"/>
      <c r="J184" s="681"/>
      <c r="K184" s="862"/>
      <c r="M184" s="702"/>
    </row>
    <row r="185" spans="2:20" s="4" customFormat="1" ht="25" customHeight="1">
      <c r="B185" s="967"/>
      <c r="C185" s="967"/>
      <c r="D185" s="967"/>
      <c r="E185" s="967"/>
      <c r="F185" s="967"/>
      <c r="G185" s="967"/>
      <c r="H185" s="801"/>
      <c r="J185" s="681"/>
      <c r="K185" s="862"/>
      <c r="M185" s="702"/>
    </row>
    <row r="186" spans="2:20" s="4" customFormat="1" ht="25" customHeight="1">
      <c r="B186" s="988" t="s">
        <v>639</v>
      </c>
      <c r="C186" s="988"/>
      <c r="D186" s="988"/>
      <c r="E186" s="988"/>
      <c r="F186" s="988"/>
      <c r="H186" s="801"/>
      <c r="J186" s="681"/>
      <c r="K186" s="862"/>
      <c r="M186" s="702"/>
    </row>
    <row r="187" spans="2:20" s="4" customFormat="1" ht="25" customHeight="1">
      <c r="B187" s="983" t="s">
        <v>420</v>
      </c>
      <c r="C187" s="983"/>
      <c r="D187" s="983"/>
      <c r="E187" s="983"/>
      <c r="F187" s="983"/>
      <c r="G187" s="684"/>
      <c r="H187" s="685"/>
      <c r="I187" s="684"/>
      <c r="J187" s="686"/>
      <c r="K187" s="863"/>
      <c r="L187" s="684"/>
      <c r="M187" s="702"/>
    </row>
    <row r="188" spans="2:20" s="4" customFormat="1" ht="25" customHeight="1">
      <c r="B188" s="465"/>
      <c r="C188" s="133"/>
      <c r="D188" s="133"/>
      <c r="E188" s="133"/>
      <c r="F188" s="133"/>
      <c r="G188" s="684"/>
      <c r="H188" s="685"/>
      <c r="I188" s="684"/>
      <c r="J188" s="686"/>
      <c r="K188" s="863"/>
      <c r="L188" s="684"/>
      <c r="M188" s="702"/>
    </row>
    <row r="189" spans="2:20" ht="25" customHeight="1">
      <c r="B189" s="651" t="s">
        <v>152</v>
      </c>
      <c r="C189" s="13"/>
      <c r="D189" s="13"/>
      <c r="F189" s="13"/>
      <c r="G189" s="13"/>
      <c r="H189" s="13"/>
      <c r="I189" s="13"/>
      <c r="J189" s="13"/>
      <c r="K189" s="887"/>
      <c r="L189" s="13"/>
      <c r="M189" s="702"/>
      <c r="O189" s="758"/>
      <c r="P189" s="758"/>
      <c r="Q189" s="8"/>
      <c r="S189" s="682"/>
      <c r="T189" s="682"/>
    </row>
    <row r="190" spans="2:20" ht="25" customHeight="1">
      <c r="B190" s="630" t="s">
        <v>640</v>
      </c>
      <c r="M190" s="695"/>
    </row>
    <row r="191" spans="2:20" ht="25" customHeight="1">
      <c r="B191" s="470" t="s">
        <v>208</v>
      </c>
      <c r="C191" s="23"/>
      <c r="D191" s="24" t="s">
        <v>276</v>
      </c>
      <c r="E191" s="132"/>
      <c r="F191" s="24"/>
      <c r="G191" s="131"/>
      <c r="H191" s="131"/>
      <c r="I191" s="23" t="s">
        <v>634</v>
      </c>
      <c r="J191" s="23"/>
      <c r="K191" s="614" t="s">
        <v>92</v>
      </c>
      <c r="L191" s="756"/>
      <c r="M191" s="702"/>
      <c r="N191" s="758"/>
      <c r="O191" s="8"/>
      <c r="Q191" s="682"/>
      <c r="R191" s="682"/>
    </row>
    <row r="192" spans="2:20" ht="25" customHeight="1">
      <c r="B192" s="134" t="s">
        <v>519</v>
      </c>
      <c r="C192" s="129"/>
      <c r="D192" s="30" t="s">
        <v>421</v>
      </c>
      <c r="E192" s="40"/>
      <c r="F192" s="30"/>
      <c r="G192" s="40"/>
      <c r="H192" s="40"/>
      <c r="I192" s="796" t="s">
        <v>94</v>
      </c>
      <c r="J192" s="796"/>
      <c r="K192" s="557">
        <v>0</v>
      </c>
      <c r="L192" s="756"/>
      <c r="M192" s="702"/>
      <c r="N192" s="758"/>
      <c r="O192" s="8"/>
      <c r="Q192" s="682"/>
      <c r="R192" s="682"/>
    </row>
    <row r="193" spans="2:18" ht="25" customHeight="1">
      <c r="B193" s="137" t="s">
        <v>520</v>
      </c>
      <c r="C193" s="130"/>
      <c r="D193" s="38" t="s">
        <v>156</v>
      </c>
      <c r="E193" s="31"/>
      <c r="F193" s="792"/>
      <c r="G193" s="800"/>
      <c r="H193" s="800"/>
      <c r="I193" s="794" t="s">
        <v>245</v>
      </c>
      <c r="J193" s="794"/>
      <c r="K193" s="556" t="s">
        <v>641</v>
      </c>
      <c r="L193" s="756"/>
      <c r="M193" s="896" t="s">
        <v>591</v>
      </c>
      <c r="N193" s="758"/>
      <c r="O193" s="8"/>
      <c r="Q193" s="682"/>
      <c r="R193" s="682"/>
    </row>
    <row r="194" spans="2:18" ht="25" customHeight="1">
      <c r="B194" s="134" t="s">
        <v>521</v>
      </c>
      <c r="C194" s="129"/>
      <c r="D194" s="30" t="s">
        <v>160</v>
      </c>
      <c r="E194" s="129"/>
      <c r="F194" s="129"/>
      <c r="G194" s="129"/>
      <c r="H194" s="40"/>
      <c r="I194" s="791" t="s">
        <v>247</v>
      </c>
      <c r="J194" s="791"/>
      <c r="K194" s="557" t="s">
        <v>635</v>
      </c>
      <c r="L194" s="756"/>
      <c r="M194" s="702"/>
      <c r="N194" s="758"/>
      <c r="O194" s="8"/>
      <c r="Q194" s="682"/>
      <c r="R194" s="682"/>
    </row>
    <row r="195" spans="2:18" ht="25" customHeight="1">
      <c r="B195" s="106"/>
      <c r="C195" s="103"/>
      <c r="D195" s="103"/>
      <c r="E195" s="105"/>
      <c r="F195" s="798"/>
      <c r="G195" s="799"/>
      <c r="H195" s="799"/>
      <c r="I195" s="802"/>
      <c r="J195" s="802"/>
      <c r="K195" s="886"/>
      <c r="L195" s="756"/>
      <c r="M195" s="702"/>
      <c r="N195" s="758"/>
      <c r="O195" s="8"/>
      <c r="Q195" s="682"/>
      <c r="R195" s="682"/>
    </row>
    <row r="196" spans="2:18" ht="25" customHeight="1">
      <c r="B196" s="137"/>
      <c r="C196" s="130"/>
      <c r="D196" s="38"/>
      <c r="E196" s="31"/>
      <c r="F196" s="792"/>
      <c r="G196" s="800"/>
      <c r="H196" s="800"/>
      <c r="I196" s="794"/>
      <c r="J196" s="794"/>
      <c r="K196" s="556"/>
      <c r="L196" s="756"/>
      <c r="M196" s="702"/>
      <c r="N196" s="758"/>
      <c r="O196" s="8"/>
      <c r="Q196" s="682"/>
      <c r="R196" s="682"/>
    </row>
    <row r="197" spans="2:18" s="653" customFormat="1" ht="25" customHeight="1">
      <c r="B197" s="651" t="s">
        <v>642</v>
      </c>
      <c r="C197" s="909"/>
      <c r="D197" s="909"/>
      <c r="F197" s="909"/>
      <c r="G197" s="909"/>
      <c r="H197" s="909"/>
      <c r="I197" s="910"/>
      <c r="J197" s="910"/>
      <c r="K197" s="715"/>
      <c r="L197" s="911"/>
      <c r="M197" s="912"/>
      <c r="N197" s="913"/>
      <c r="O197" s="914"/>
      <c r="Q197" s="914"/>
      <c r="R197" s="914"/>
    </row>
    <row r="198" spans="2:18" ht="25" customHeight="1">
      <c r="B198" s="630" t="s">
        <v>643</v>
      </c>
      <c r="M198" s="695"/>
    </row>
    <row r="199" spans="2:18" ht="25" customHeight="1">
      <c r="B199" s="470" t="s">
        <v>208</v>
      </c>
      <c r="C199" s="23"/>
      <c r="D199" s="24" t="s">
        <v>276</v>
      </c>
      <c r="E199" s="132"/>
      <c r="F199" s="24"/>
      <c r="G199" s="131"/>
      <c r="H199" s="131"/>
      <c r="I199" s="23" t="s">
        <v>634</v>
      </c>
      <c r="J199" s="23"/>
      <c r="K199" s="614" t="s">
        <v>92</v>
      </c>
      <c r="L199" s="756"/>
      <c r="M199" s="702"/>
      <c r="N199" s="758"/>
      <c r="O199" s="8"/>
      <c r="Q199" s="682"/>
      <c r="R199" s="682"/>
    </row>
    <row r="200" spans="2:18" ht="25" customHeight="1">
      <c r="B200" s="134" t="s">
        <v>522</v>
      </c>
      <c r="C200" s="129"/>
      <c r="D200" s="30" t="s">
        <v>166</v>
      </c>
      <c r="E200" s="40"/>
      <c r="F200" s="30"/>
      <c r="G200" s="40"/>
      <c r="H200" s="40"/>
      <c r="I200" s="791" t="s">
        <v>247</v>
      </c>
      <c r="J200" s="791"/>
      <c r="K200" s="631">
        <f>PS_consult.jun_SEK</f>
        <v>1127</v>
      </c>
      <c r="L200" s="756"/>
      <c r="M200" s="702"/>
      <c r="N200" s="758"/>
      <c r="O200" s="8"/>
      <c r="Q200" s="682"/>
      <c r="R200" s="682"/>
    </row>
    <row r="201" spans="2:18" ht="25" customHeight="1">
      <c r="B201" s="137" t="s">
        <v>523</v>
      </c>
      <c r="C201" s="130"/>
      <c r="D201" s="38" t="s">
        <v>168</v>
      </c>
      <c r="E201" s="31"/>
      <c r="F201" s="792"/>
      <c r="G201" s="800"/>
      <c r="H201" s="800"/>
      <c r="I201" s="794" t="s">
        <v>247</v>
      </c>
      <c r="J201" s="794"/>
      <c r="K201" s="897">
        <f>PS_consult.sen_SEK</f>
        <v>1374</v>
      </c>
      <c r="L201" s="756"/>
      <c r="M201" s="702"/>
      <c r="N201" s="758"/>
      <c r="O201" s="8"/>
      <c r="Q201" s="682"/>
      <c r="R201" s="682"/>
    </row>
    <row r="202" spans="2:18" ht="25" customHeight="1">
      <c r="B202" s="134" t="s">
        <v>524</v>
      </c>
      <c r="C202" s="129"/>
      <c r="D202" s="30" t="s">
        <v>170</v>
      </c>
      <c r="E202" s="40"/>
      <c r="F202" s="30"/>
      <c r="G202" s="40"/>
      <c r="H202" s="40"/>
      <c r="I202" s="791" t="s">
        <v>247</v>
      </c>
      <c r="J202" s="791"/>
      <c r="K202" s="631">
        <f>PS_cloudarch.jun_SEK</f>
        <v>1277</v>
      </c>
      <c r="L202" s="756"/>
      <c r="M202" s="702"/>
      <c r="N202" s="758"/>
      <c r="O202" s="8"/>
      <c r="Q202" s="682"/>
      <c r="R202" s="682"/>
    </row>
    <row r="203" spans="2:18" ht="25" customHeight="1">
      <c r="B203" s="137" t="s">
        <v>525</v>
      </c>
      <c r="C203" s="130"/>
      <c r="D203" s="38" t="s">
        <v>172</v>
      </c>
      <c r="E203" s="38"/>
      <c r="F203" s="38"/>
      <c r="G203" s="800"/>
      <c r="H203" s="800"/>
      <c r="I203" s="794" t="s">
        <v>247</v>
      </c>
      <c r="J203" s="794"/>
      <c r="K203" s="897">
        <f>PS_cloudarch.sen_SEK</f>
        <v>1374</v>
      </c>
      <c r="L203" s="756"/>
      <c r="M203" s="702"/>
      <c r="N203" s="758"/>
      <c r="O203" s="8"/>
      <c r="Q203" s="682"/>
      <c r="R203" s="682"/>
    </row>
    <row r="204" spans="2:18" ht="25" customHeight="1">
      <c r="B204" s="134" t="s">
        <v>526</v>
      </c>
      <c r="C204" s="129"/>
      <c r="D204" s="30" t="s">
        <v>174</v>
      </c>
      <c r="E204" s="40"/>
      <c r="F204" s="30"/>
      <c r="G204" s="40"/>
      <c r="H204" s="40"/>
      <c r="I204" s="791" t="s">
        <v>247</v>
      </c>
      <c r="J204" s="791"/>
      <c r="K204" s="631">
        <f>PS_pm.jun_SEK</f>
        <v>1139</v>
      </c>
      <c r="L204" s="756"/>
      <c r="M204" s="702"/>
      <c r="N204" s="758"/>
      <c r="O204" s="8"/>
      <c r="Q204" s="682"/>
      <c r="R204" s="682"/>
    </row>
    <row r="205" spans="2:18" ht="25" customHeight="1">
      <c r="B205" s="137" t="s">
        <v>527</v>
      </c>
      <c r="C205" s="130"/>
      <c r="D205" s="38" t="s">
        <v>176</v>
      </c>
      <c r="E205" s="31"/>
      <c r="F205" s="792"/>
      <c r="G205" s="800"/>
      <c r="H205" s="800"/>
      <c r="I205" s="794" t="s">
        <v>247</v>
      </c>
      <c r="J205" s="794"/>
      <c r="K205" s="897">
        <f>PS_pm.sen_SEK</f>
        <v>1374</v>
      </c>
      <c r="L205" s="756"/>
      <c r="M205" s="702"/>
      <c r="N205" s="758"/>
      <c r="O205" s="8"/>
      <c r="Q205" s="682"/>
      <c r="R205" s="682"/>
    </row>
    <row r="206" spans="2:18" ht="25" customHeight="1">
      <c r="B206" s="106"/>
      <c r="C206" s="103"/>
      <c r="D206" s="397"/>
      <c r="E206" s="105"/>
      <c r="F206" s="798"/>
      <c r="G206" s="799"/>
      <c r="H206" s="799"/>
      <c r="I206" s="802"/>
      <c r="J206" s="802"/>
      <c r="K206" s="886"/>
      <c r="L206" s="756"/>
      <c r="M206" s="702"/>
      <c r="N206" s="758"/>
      <c r="O206" s="8"/>
      <c r="Q206" s="682"/>
      <c r="R206" s="682"/>
    </row>
    <row r="207" spans="2:18" ht="25" customHeight="1">
      <c r="B207" s="137"/>
      <c r="C207" s="130"/>
      <c r="D207" s="38"/>
      <c r="E207" s="31"/>
      <c r="F207" s="792"/>
      <c r="G207" s="800"/>
      <c r="H207" s="800"/>
      <c r="I207" s="794"/>
      <c r="J207" s="794"/>
      <c r="K207" s="556"/>
      <c r="M207" s="702"/>
      <c r="N207" s="758"/>
      <c r="O207" s="8"/>
    </row>
    <row r="208" spans="2:18" ht="25" customHeight="1">
      <c r="B208" s="651" t="s">
        <v>251</v>
      </c>
      <c r="C208" s="13"/>
      <c r="D208" s="13"/>
      <c r="F208" s="13"/>
      <c r="G208" s="13"/>
      <c r="H208" s="13"/>
      <c r="I208" s="797"/>
      <c r="J208" s="797"/>
      <c r="L208" s="756"/>
      <c r="M208" s="702"/>
      <c r="N208" s="758"/>
      <c r="O208" s="8"/>
      <c r="Q208" s="682"/>
      <c r="R208" s="682"/>
    </row>
    <row r="209" spans="1:18" ht="25" customHeight="1">
      <c r="B209" s="630" t="s">
        <v>644</v>
      </c>
      <c r="M209" s="695"/>
    </row>
    <row r="210" spans="1:18" ht="25" customHeight="1">
      <c r="B210" s="470" t="s">
        <v>208</v>
      </c>
      <c r="C210" s="23"/>
      <c r="D210" s="24" t="s">
        <v>276</v>
      </c>
      <c r="E210" s="132"/>
      <c r="F210" s="24"/>
      <c r="G210" s="23" t="s">
        <v>252</v>
      </c>
      <c r="H210" s="23"/>
      <c r="I210" s="23" t="s">
        <v>634</v>
      </c>
      <c r="J210" s="23"/>
      <c r="K210" s="614" t="s">
        <v>92</v>
      </c>
      <c r="L210" s="756"/>
      <c r="M210" s="702"/>
      <c r="N210" s="758"/>
      <c r="O210" s="8"/>
      <c r="Q210" s="682"/>
      <c r="R210" s="682"/>
    </row>
    <row r="211" spans="1:18" ht="25" customHeight="1">
      <c r="B211" s="134" t="s">
        <v>528</v>
      </c>
      <c r="C211" s="129"/>
      <c r="D211" s="30" t="s">
        <v>253</v>
      </c>
      <c r="E211" s="40"/>
      <c r="F211" s="30"/>
      <c r="G211" s="791" t="s">
        <v>254</v>
      </c>
      <c r="H211" s="791"/>
      <c r="I211" s="791" t="s">
        <v>308</v>
      </c>
      <c r="J211" s="791"/>
      <c r="K211" s="557" t="s">
        <v>635</v>
      </c>
      <c r="L211" s="756"/>
      <c r="M211" s="702"/>
      <c r="N211" s="758"/>
      <c r="O211" s="8"/>
      <c r="Q211" s="682"/>
      <c r="R211" s="682"/>
    </row>
    <row r="212" spans="1:18" ht="25" customHeight="1">
      <c r="B212" s="137" t="s">
        <v>529</v>
      </c>
      <c r="C212" s="130"/>
      <c r="D212" s="38" t="s">
        <v>256</v>
      </c>
      <c r="E212" s="31"/>
      <c r="F212" s="792"/>
      <c r="G212" s="794" t="s">
        <v>254</v>
      </c>
      <c r="H212" s="794"/>
      <c r="I212" s="794" t="s">
        <v>308</v>
      </c>
      <c r="J212" s="794"/>
      <c r="K212" s="556" t="s">
        <v>635</v>
      </c>
      <c r="L212" s="756"/>
      <c r="M212" s="702"/>
      <c r="N212" s="758"/>
      <c r="O212" s="8"/>
      <c r="Q212" s="682"/>
      <c r="R212" s="682"/>
    </row>
    <row r="213" spans="1:18" ht="25" customHeight="1">
      <c r="B213" s="134" t="s">
        <v>530</v>
      </c>
      <c r="C213" s="129"/>
      <c r="D213" s="30" t="s">
        <v>257</v>
      </c>
      <c r="E213" s="40"/>
      <c r="F213" s="30"/>
      <c r="G213" s="791" t="s">
        <v>645</v>
      </c>
      <c r="H213" s="791"/>
      <c r="I213" s="791" t="s">
        <v>308</v>
      </c>
      <c r="J213" s="791"/>
      <c r="K213" s="557" t="s">
        <v>635</v>
      </c>
      <c r="L213" s="756"/>
      <c r="M213" s="702"/>
      <c r="N213" s="758"/>
      <c r="O213" s="8"/>
      <c r="Q213" s="682"/>
      <c r="R213" s="682"/>
    </row>
    <row r="214" spans="1:18" ht="25" customHeight="1">
      <c r="B214" s="137" t="s">
        <v>531</v>
      </c>
      <c r="C214" s="130"/>
      <c r="D214" s="38" t="s">
        <v>259</v>
      </c>
      <c r="E214" s="31"/>
      <c r="F214" s="792"/>
      <c r="G214" s="794" t="s">
        <v>645</v>
      </c>
      <c r="H214" s="794"/>
      <c r="I214" s="794" t="s">
        <v>308</v>
      </c>
      <c r="J214" s="794"/>
      <c r="K214" s="556" t="s">
        <v>635</v>
      </c>
      <c r="L214" s="756"/>
      <c r="M214" s="702"/>
      <c r="N214" s="758"/>
      <c r="O214" s="8"/>
      <c r="Q214" s="682"/>
      <c r="R214" s="682"/>
    </row>
    <row r="215" spans="1:18" ht="25" customHeight="1">
      <c r="B215" s="106"/>
      <c r="C215" s="103"/>
      <c r="D215" s="397"/>
      <c r="E215" s="105"/>
      <c r="F215" s="798"/>
      <c r="G215" s="799"/>
      <c r="H215" s="799"/>
      <c r="I215" s="799"/>
      <c r="J215" s="799"/>
      <c r="K215" s="886"/>
      <c r="L215" s="756"/>
      <c r="M215" s="702"/>
      <c r="N215" s="758"/>
      <c r="O215" s="8"/>
      <c r="Q215" s="682"/>
      <c r="R215" s="682"/>
    </row>
    <row r="216" spans="1:18" ht="25" customHeight="1">
      <c r="B216" s="417"/>
      <c r="C216" s="26"/>
      <c r="D216" s="26"/>
      <c r="E216" s="26"/>
      <c r="F216" s="777"/>
      <c r="G216" s="778"/>
      <c r="H216" s="756"/>
      <c r="I216" s="756"/>
      <c r="J216" s="756"/>
      <c r="K216" s="876"/>
      <c r="L216" s="758"/>
      <c r="M216" s="702"/>
      <c r="N216" s="682"/>
      <c r="O216" s="682"/>
    </row>
    <row r="217" spans="1:18" ht="25" customHeight="1">
      <c r="A217" s="788"/>
      <c r="B217" s="642"/>
      <c r="C217" s="60"/>
      <c r="D217" s="60"/>
      <c r="E217" s="60"/>
      <c r="F217" s="803"/>
      <c r="G217" s="804"/>
      <c r="H217" s="805"/>
      <c r="I217" s="806"/>
      <c r="J217" s="807"/>
      <c r="K217" s="888"/>
      <c r="L217" s="808"/>
      <c r="M217" s="702"/>
      <c r="N217" s="682"/>
      <c r="O217" s="682"/>
    </row>
    <row r="218" spans="1:18" s="4" customFormat="1" ht="25" customHeight="1">
      <c r="A218" s="3"/>
      <c r="B218" s="643"/>
      <c r="C218" s="54"/>
      <c r="D218" s="54"/>
      <c r="E218" s="54"/>
      <c r="F218" s="809"/>
      <c r="G218" s="810"/>
      <c r="H218" s="811"/>
      <c r="I218" s="812"/>
      <c r="J218" s="813"/>
      <c r="K218" s="889"/>
      <c r="L218" s="3"/>
      <c r="M218" s="674"/>
    </row>
    <row r="219" spans="1:18" s="4" customFormat="1" ht="25" customHeight="1">
      <c r="A219" s="3"/>
      <c r="B219" s="643"/>
      <c r="C219" s="54"/>
      <c r="D219" s="54"/>
      <c r="E219" s="54"/>
      <c r="F219" s="809"/>
      <c r="G219" s="810"/>
      <c r="H219" s="811"/>
      <c r="I219" s="812"/>
      <c r="J219" s="813"/>
      <c r="K219" s="889"/>
      <c r="L219" s="3"/>
      <c r="M219" s="674"/>
    </row>
    <row r="220" spans="1:18" s="4" customFormat="1" ht="25" customHeight="1">
      <c r="A220" s="3"/>
      <c r="B220" s="643"/>
      <c r="C220" s="54"/>
      <c r="D220" s="54"/>
      <c r="E220" s="54"/>
      <c r="F220" s="809"/>
      <c r="G220" s="810"/>
      <c r="H220" s="811"/>
      <c r="I220" s="812"/>
      <c r="J220" s="813"/>
      <c r="K220" s="889"/>
      <c r="L220" s="3"/>
      <c r="M220" s="674"/>
    </row>
    <row r="221" spans="1:18" s="4" customFormat="1" ht="25" customHeight="1">
      <c r="A221" s="3"/>
      <c r="B221" s="986" t="s">
        <v>313</v>
      </c>
      <c r="C221" s="986"/>
      <c r="D221" s="986"/>
      <c r="E221" s="986"/>
      <c r="F221" s="986"/>
      <c r="G221" s="986"/>
      <c r="H221" s="672"/>
      <c r="I221" s="814"/>
      <c r="J221" s="3"/>
      <c r="K221" s="860"/>
      <c r="L221" s="3"/>
      <c r="M221" s="674"/>
    </row>
    <row r="222" spans="1:18" s="4" customFormat="1" ht="25" customHeight="1">
      <c r="A222" s="3"/>
      <c r="B222" s="986"/>
      <c r="C222" s="986"/>
      <c r="D222" s="986"/>
      <c r="E222" s="986"/>
      <c r="F222" s="986"/>
      <c r="G222" s="986"/>
      <c r="H222" s="672"/>
      <c r="I222" s="814"/>
      <c r="J222" s="3"/>
      <c r="K222" s="860"/>
      <c r="L222" s="3"/>
      <c r="M222" s="674"/>
    </row>
    <row r="223" spans="1:18" s="4" customFormat="1" ht="25" customHeight="1">
      <c r="A223" s="3"/>
      <c r="B223" s="986"/>
      <c r="C223" s="986"/>
      <c r="D223" s="986"/>
      <c r="E223" s="986"/>
      <c r="F223" s="986"/>
      <c r="G223" s="986"/>
      <c r="H223" s="672"/>
      <c r="I223" s="814"/>
      <c r="J223" s="3"/>
      <c r="K223" s="860"/>
      <c r="L223" s="3"/>
      <c r="M223" s="674"/>
    </row>
    <row r="224" spans="1:18" s="4" customFormat="1" ht="25" customHeight="1">
      <c r="A224" s="3"/>
      <c r="B224" s="987" t="s">
        <v>608</v>
      </c>
      <c r="C224" s="987"/>
      <c r="D224" s="987"/>
      <c r="E224" s="987"/>
      <c r="F224" s="987"/>
      <c r="G224" s="3"/>
      <c r="H224" s="672"/>
      <c r="I224" s="814"/>
      <c r="J224" s="3"/>
      <c r="K224" s="860"/>
      <c r="L224" s="815"/>
      <c r="M224" s="688"/>
    </row>
    <row r="225" spans="1:20" s="4" customFormat="1" ht="25" customHeight="1">
      <c r="A225" s="3"/>
      <c r="B225" s="636"/>
      <c r="C225" s="62"/>
      <c r="D225" s="62"/>
      <c r="E225" s="62"/>
      <c r="F225" s="62"/>
      <c r="G225" s="3"/>
      <c r="H225" s="672"/>
      <c r="I225" s="814"/>
      <c r="J225" s="3"/>
      <c r="K225" s="860"/>
      <c r="L225" s="815"/>
      <c r="M225" s="688"/>
    </row>
    <row r="226" spans="1:20" s="4" customFormat="1" ht="25" customHeight="1">
      <c r="A226" s="3"/>
      <c r="B226" s="422" t="s">
        <v>646</v>
      </c>
      <c r="C226" s="62"/>
      <c r="D226" s="62"/>
      <c r="E226" s="62"/>
      <c r="F226" s="62"/>
      <c r="G226" s="3"/>
      <c r="H226" s="672"/>
      <c r="I226" s="814"/>
      <c r="J226" s="3"/>
      <c r="K226" s="860"/>
      <c r="L226" s="815"/>
      <c r="M226" s="688"/>
    </row>
    <row r="227" spans="1:20" s="4" customFormat="1" ht="25" customHeight="1">
      <c r="A227" s="3"/>
      <c r="B227" s="418" t="s">
        <v>441</v>
      </c>
      <c r="C227" s="62"/>
      <c r="D227" s="62"/>
      <c r="E227" s="62"/>
      <c r="F227" s="62"/>
      <c r="G227" s="3"/>
      <c r="H227" s="672"/>
      <c r="I227" s="3"/>
      <c r="J227" s="673"/>
      <c r="K227" s="860"/>
      <c r="L227" s="815"/>
      <c r="M227" s="688"/>
    </row>
    <row r="228" spans="1:20" s="4" customFormat="1" ht="25" customHeight="1">
      <c r="A228" s="3"/>
      <c r="B228" s="964" t="s">
        <v>3</v>
      </c>
      <c r="C228" s="67"/>
      <c r="D228" s="67"/>
      <c r="E228" s="67"/>
      <c r="F228" s="67"/>
      <c r="G228" s="815"/>
      <c r="H228" s="816"/>
      <c r="I228" s="815"/>
      <c r="J228" s="817"/>
      <c r="K228" s="890"/>
      <c r="L228" s="815"/>
      <c r="M228" s="688"/>
    </row>
    <row r="229" spans="1:20" s="728" customFormat="1" ht="25" customHeight="1">
      <c r="A229" s="818"/>
      <c r="B229" s="915"/>
      <c r="C229" s="135"/>
      <c r="D229" s="135"/>
      <c r="E229" s="135"/>
      <c r="F229" s="135"/>
      <c r="G229" s="815"/>
      <c r="H229" s="816"/>
      <c r="I229" s="815"/>
      <c r="J229" s="817"/>
      <c r="K229" s="890"/>
      <c r="L229" s="818"/>
      <c r="M229" s="780"/>
      <c r="N229" s="819"/>
      <c r="O229" s="745"/>
      <c r="P229" s="745"/>
      <c r="Q229" s="745"/>
      <c r="R229" s="745"/>
      <c r="S229" s="745"/>
      <c r="T229" s="745"/>
    </row>
    <row r="230" spans="1:20" ht="25" customHeight="1">
      <c r="A230" s="2"/>
      <c r="B230" s="644" t="s">
        <v>533</v>
      </c>
      <c r="C230" s="56"/>
      <c r="D230" s="57"/>
      <c r="E230" s="56"/>
      <c r="F230" s="665"/>
      <c r="G230" s="665"/>
      <c r="H230" s="665"/>
      <c r="I230" s="56"/>
      <c r="J230" s="665" t="s">
        <v>313</v>
      </c>
      <c r="K230" s="891"/>
      <c r="L230" s="820"/>
      <c r="M230" s="670"/>
      <c r="N230" s="28"/>
    </row>
    <row r="231" spans="1:20" ht="25" customHeight="1">
      <c r="A231" s="2"/>
      <c r="B231" s="854" t="s">
        <v>4</v>
      </c>
      <c r="C231" s="661" t="str" cm="1">
        <f t="array" ref="C231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1" s="71"/>
      <c r="E231" s="661"/>
      <c r="F231" s="661"/>
      <c r="G231" s="662"/>
      <c r="H231" s="821"/>
      <c r="I231" s="822"/>
      <c r="J231" s="666">
        <f>K64+K73+K55+K38+K82</f>
        <v>0</v>
      </c>
      <c r="K231" s="857"/>
      <c r="L231" s="2"/>
      <c r="M231" s="670"/>
      <c r="N231" s="28"/>
    </row>
    <row r="232" spans="1:20" ht="25" customHeight="1">
      <c r="A232" s="2"/>
      <c r="B232" s="493" t="s">
        <v>72</v>
      </c>
      <c r="C232" s="612" t="str">
        <f>K94&amp;" TB - S3"&amp;"     /     "&amp;K93&amp;" TB - Archive"</f>
        <v>0 TB - S3     /     0 TB - Archive</v>
      </c>
      <c r="D232" s="663"/>
      <c r="E232" s="663"/>
      <c r="F232" s="823"/>
      <c r="G232" s="824"/>
      <c r="H232" s="824"/>
      <c r="I232" s="825"/>
      <c r="J232" s="667">
        <f>K95</f>
        <v>0</v>
      </c>
      <c r="K232" s="857"/>
      <c r="L232" s="2"/>
      <c r="M232" s="670"/>
      <c r="N232" s="28"/>
    </row>
    <row r="233" spans="1:20" ht="25" customHeight="1">
      <c r="A233" s="2"/>
      <c r="B233" s="493" t="s">
        <v>86</v>
      </c>
      <c r="C233" s="136"/>
      <c r="D233" s="72"/>
      <c r="E233" s="73"/>
      <c r="F233" s="823"/>
      <c r="G233" s="824"/>
      <c r="H233" s="824"/>
      <c r="I233" s="825"/>
      <c r="J233" s="667">
        <f>K119</f>
        <v>0</v>
      </c>
      <c r="K233" s="857"/>
      <c r="L233" s="2"/>
      <c r="M233" s="670"/>
      <c r="N233" s="28"/>
    </row>
    <row r="234" spans="1:20" s="829" customFormat="1" ht="25" customHeight="1">
      <c r="A234" s="826"/>
      <c r="B234" s="466" t="s">
        <v>442</v>
      </c>
      <c r="C234" s="656" t="str">
        <f>IF(J131=1,"Fullt administrert tjeneste - support hverdager 08:00-17:00",IF(J131=3,"Fullt administrert tjeneste - support døgnet rundt, hver dag",""))</f>
        <v/>
      </c>
      <c r="D234" s="33"/>
      <c r="E234" s="34"/>
      <c r="F234" s="35"/>
      <c r="G234" s="827"/>
      <c r="H234" s="827"/>
      <c r="I234" s="774"/>
      <c r="J234" s="437">
        <f>K133</f>
        <v>0</v>
      </c>
      <c r="K234" s="857"/>
      <c r="L234" s="826"/>
      <c r="M234" s="828"/>
    </row>
    <row r="235" spans="1:20" s="835" customFormat="1" ht="25" customHeight="1">
      <c r="A235" s="830"/>
      <c r="B235" s="664" t="s">
        <v>222</v>
      </c>
      <c r="C235" s="659"/>
      <c r="D235" s="660"/>
      <c r="E235" s="660"/>
      <c r="F235" s="831"/>
      <c r="G235" s="832"/>
      <c r="H235" s="832"/>
      <c r="I235" s="833"/>
      <c r="J235" s="668">
        <f>SUM(J231:J234)</f>
        <v>0</v>
      </c>
      <c r="K235" s="892"/>
      <c r="L235" s="830"/>
      <c r="M235" s="834"/>
    </row>
    <row r="236" spans="1:20" ht="25" customHeight="1">
      <c r="A236" s="2"/>
      <c r="B236" s="421"/>
      <c r="C236" s="59"/>
      <c r="D236" s="59"/>
      <c r="E236" s="59"/>
      <c r="F236" s="836"/>
      <c r="G236" s="837"/>
      <c r="H236" s="837"/>
      <c r="I236" s="838"/>
      <c r="J236" s="838"/>
      <c r="K236" s="893"/>
      <c r="L236" s="2"/>
      <c r="M236" s="670"/>
    </row>
    <row r="237" spans="1:20" ht="25" customHeight="1">
      <c r="A237" s="2"/>
      <c r="B237" s="645"/>
      <c r="C237" s="30"/>
      <c r="D237" s="36"/>
      <c r="E237" s="37"/>
      <c r="F237" s="40"/>
      <c r="G237" s="442"/>
      <c r="H237" s="30"/>
      <c r="I237" s="795"/>
      <c r="J237" s="750"/>
      <c r="K237" s="857"/>
      <c r="L237" s="2"/>
      <c r="M237" s="670"/>
    </row>
    <row r="238" spans="1:20" ht="25" customHeight="1">
      <c r="A238" s="839"/>
      <c r="B238" s="646"/>
      <c r="C238" s="42"/>
      <c r="D238" s="33"/>
      <c r="E238" s="34"/>
      <c r="F238" s="840"/>
      <c r="G238" s="827"/>
      <c r="H238" s="42"/>
      <c r="I238" s="841"/>
      <c r="J238" s="437"/>
      <c r="K238" s="596"/>
      <c r="L238" s="842"/>
      <c r="M238" s="670"/>
    </row>
    <row r="239" spans="1:20" s="112" customFormat="1" ht="25" customHeight="1">
      <c r="B239" s="647"/>
      <c r="C239" s="108"/>
      <c r="D239" s="109"/>
      <c r="E239" s="110"/>
      <c r="F239" s="843"/>
      <c r="G239" s="844"/>
      <c r="H239" s="108"/>
      <c r="I239" s="845"/>
      <c r="J239" s="846"/>
      <c r="K239" s="894"/>
    </row>
    <row r="240" spans="1:20" s="112" customFormat="1" ht="25" customHeight="1">
      <c r="B240" s="647"/>
      <c r="C240" s="108"/>
      <c r="D240" s="108"/>
      <c r="E240" s="108"/>
      <c r="F240" s="847"/>
      <c r="G240" s="848"/>
      <c r="H240" s="849"/>
      <c r="I240" s="849"/>
      <c r="J240" s="849"/>
      <c r="K240" s="895"/>
      <c r="L240" s="846"/>
      <c r="M240" s="846"/>
      <c r="N240" s="846"/>
    </row>
    <row r="241" spans="1:23" s="112" customFormat="1" ht="25" customHeight="1">
      <c r="B241" s="647"/>
      <c r="C241" s="108"/>
      <c r="D241" s="108"/>
      <c r="E241" s="108"/>
      <c r="F241" s="847"/>
      <c r="G241" s="848"/>
      <c r="H241" s="849"/>
      <c r="I241" s="849"/>
      <c r="J241" s="849"/>
      <c r="K241" s="895"/>
      <c r="L241" s="846"/>
      <c r="M241" s="846"/>
      <c r="N241" s="846"/>
    </row>
    <row r="242" spans="1:23" s="112" customFormat="1" ht="25" customHeight="1">
      <c r="B242" s="647"/>
      <c r="C242" s="108"/>
      <c r="D242" s="108"/>
      <c r="E242" s="108"/>
      <c r="F242" s="847"/>
      <c r="G242" s="848"/>
      <c r="H242" s="849"/>
      <c r="I242" s="849"/>
      <c r="J242" s="849"/>
      <c r="K242" s="895"/>
      <c r="L242" s="846"/>
      <c r="M242" s="846"/>
      <c r="N242" s="846"/>
    </row>
    <row r="243" spans="1:23" s="112" customFormat="1" ht="25" customHeight="1">
      <c r="B243" s="647"/>
      <c r="C243" s="108"/>
      <c r="D243" s="108"/>
      <c r="E243" s="108"/>
      <c r="F243" s="847"/>
      <c r="G243" s="848"/>
      <c r="H243" s="849"/>
      <c r="I243" s="849"/>
      <c r="J243" s="849"/>
      <c r="K243" s="895"/>
      <c r="L243" s="846"/>
      <c r="M243" s="846"/>
      <c r="N243" s="846"/>
    </row>
    <row r="244" spans="1:23" s="112" customFormat="1" ht="25" customHeight="1">
      <c r="B244" s="647"/>
      <c r="C244" s="108"/>
      <c r="D244" s="108"/>
      <c r="E244" s="108"/>
      <c r="F244" s="847"/>
      <c r="G244" s="848"/>
      <c r="H244" s="849"/>
      <c r="I244" s="849"/>
      <c r="J244" s="849"/>
      <c r="K244" s="895"/>
      <c r="L244" s="846"/>
      <c r="M244" s="846"/>
      <c r="N244" s="846"/>
    </row>
    <row r="245" spans="1:23" s="112" customFormat="1" ht="25" customHeight="1">
      <c r="B245" s="647"/>
      <c r="C245" s="108"/>
      <c r="D245" s="108"/>
      <c r="E245" s="108"/>
      <c r="F245" s="847"/>
      <c r="G245" s="848"/>
      <c r="H245" s="849"/>
      <c r="I245" s="849"/>
      <c r="J245" s="849"/>
      <c r="K245" s="895"/>
      <c r="L245" s="846"/>
      <c r="M245" s="846"/>
      <c r="N245" s="846"/>
    </row>
    <row r="246" spans="1:23" s="112" customFormat="1" ht="25" customHeight="1">
      <c r="B246" s="647"/>
      <c r="C246" s="108"/>
      <c r="D246" s="108"/>
      <c r="E246" s="108"/>
      <c r="F246" s="847"/>
      <c r="G246" s="848"/>
      <c r="H246" s="849"/>
      <c r="I246" s="849"/>
      <c r="J246" s="849"/>
      <c r="K246" s="895"/>
      <c r="L246" s="846"/>
      <c r="M246" s="846"/>
      <c r="N246" s="846"/>
    </row>
    <row r="247" spans="1:23" s="112" customFormat="1" ht="25" customHeight="1">
      <c r="B247" s="647"/>
      <c r="C247" s="108"/>
      <c r="D247" s="108"/>
      <c r="E247" s="108"/>
      <c r="F247" s="847"/>
      <c r="G247" s="848"/>
      <c r="H247" s="849"/>
      <c r="I247" s="849"/>
      <c r="J247" s="849"/>
      <c r="K247" s="895"/>
      <c r="L247" s="846"/>
      <c r="M247" s="846"/>
      <c r="N247" s="846"/>
    </row>
    <row r="248" spans="1:23" s="112" customFormat="1" ht="25" customHeight="1">
      <c r="B248" s="647"/>
      <c r="C248" s="108"/>
      <c r="D248" s="108"/>
      <c r="E248" s="108"/>
      <c r="F248" s="847"/>
      <c r="G248" s="848"/>
      <c r="H248" s="849"/>
      <c r="I248" s="849"/>
      <c r="J248" s="849"/>
      <c r="K248" s="895"/>
      <c r="L248" s="846"/>
      <c r="M248" s="846"/>
      <c r="N248" s="846"/>
    </row>
    <row r="249" spans="1:23" s="850" customFormat="1" ht="25" customHeight="1">
      <c r="A249" s="112"/>
      <c r="B249" s="647"/>
      <c r="C249" s="108"/>
      <c r="D249" s="108"/>
      <c r="E249" s="108"/>
      <c r="F249" s="847"/>
      <c r="G249" s="848"/>
      <c r="H249" s="849"/>
      <c r="I249" s="849"/>
      <c r="J249" s="849"/>
      <c r="K249" s="895"/>
      <c r="L249" s="846"/>
      <c r="M249" s="846"/>
      <c r="N249" s="846"/>
      <c r="O249" s="112"/>
      <c r="P249" s="112"/>
      <c r="Q249" s="112"/>
      <c r="R249" s="112"/>
      <c r="S249" s="112"/>
      <c r="T249" s="112"/>
      <c r="U249" s="112"/>
      <c r="V249" s="112"/>
      <c r="W249" s="112"/>
    </row>
    <row r="250" spans="1:23" s="112" customFormat="1" ht="25" customHeight="1">
      <c r="B250" s="647"/>
      <c r="C250" s="108"/>
      <c r="D250" s="108"/>
      <c r="E250" s="108"/>
      <c r="F250" s="847"/>
      <c r="G250" s="848"/>
      <c r="H250" s="849"/>
      <c r="I250" s="849"/>
      <c r="J250" s="849"/>
      <c r="K250" s="895"/>
      <c r="L250" s="846"/>
      <c r="M250" s="846"/>
      <c r="N250" s="846"/>
    </row>
    <row r="251" spans="1:23" s="112" customFormat="1" ht="25" customHeight="1">
      <c r="B251" s="647"/>
      <c r="C251" s="108"/>
      <c r="D251" s="108"/>
      <c r="E251" s="108"/>
      <c r="F251" s="847"/>
      <c r="G251" s="848"/>
      <c r="H251" s="849"/>
      <c r="I251" s="849"/>
      <c r="J251" s="849"/>
      <c r="K251" s="895"/>
      <c r="L251" s="846"/>
      <c r="M251" s="846"/>
      <c r="N251" s="846"/>
    </row>
    <row r="252" spans="1:23" s="112" customFormat="1" ht="25" customHeight="1">
      <c r="B252" s="647"/>
      <c r="C252" s="108"/>
      <c r="D252" s="108"/>
      <c r="E252" s="108"/>
      <c r="F252" s="847"/>
      <c r="G252" s="848"/>
      <c r="H252" s="849"/>
      <c r="I252" s="849"/>
      <c r="J252" s="849"/>
      <c r="K252" s="895"/>
      <c r="L252" s="846"/>
      <c r="M252" s="846"/>
      <c r="N252" s="846"/>
    </row>
    <row r="253" spans="1:23" s="112" customFormat="1" ht="25" customHeight="1">
      <c r="B253" s="647"/>
      <c r="C253" s="108"/>
      <c r="D253" s="108"/>
      <c r="E253" s="108"/>
      <c r="F253" s="847"/>
      <c r="G253" s="848"/>
      <c r="H253" s="849"/>
      <c r="I253" s="849"/>
      <c r="J253" s="849"/>
      <c r="K253" s="895"/>
      <c r="L253" s="846"/>
      <c r="M253" s="846"/>
      <c r="N253" s="846"/>
    </row>
    <row r="254" spans="1:23" s="112" customFormat="1" ht="25" customHeight="1">
      <c r="B254" s="647"/>
      <c r="C254" s="108"/>
      <c r="D254" s="108"/>
      <c r="E254" s="108"/>
      <c r="F254" s="847"/>
      <c r="G254" s="848"/>
      <c r="H254" s="849"/>
      <c r="I254" s="849"/>
      <c r="J254" s="849"/>
      <c r="K254" s="895"/>
      <c r="L254" s="846"/>
      <c r="M254" s="846"/>
      <c r="N254" s="846"/>
    </row>
    <row r="255" spans="1:23" s="112" customFormat="1" ht="25" customHeight="1">
      <c r="B255" s="647"/>
      <c r="C255" s="108"/>
      <c r="D255" s="108"/>
      <c r="E255" s="108"/>
      <c r="F255" s="847"/>
      <c r="G255" s="848"/>
      <c r="H255" s="849"/>
      <c r="I255" s="849"/>
      <c r="J255" s="849"/>
      <c r="K255" s="895"/>
      <c r="L255" s="846"/>
      <c r="M255" s="846"/>
      <c r="N255" s="846"/>
    </row>
    <row r="256" spans="1:23" s="112" customFormat="1" ht="25" customHeight="1">
      <c r="B256" s="647"/>
      <c r="C256" s="108"/>
      <c r="D256" s="108"/>
      <c r="E256" s="108"/>
      <c r="F256" s="847"/>
      <c r="G256" s="848"/>
      <c r="H256" s="849"/>
      <c r="I256" s="849"/>
      <c r="J256" s="849"/>
      <c r="K256" s="895"/>
      <c r="L256" s="846"/>
      <c r="M256" s="846"/>
      <c r="N256" s="846"/>
    </row>
    <row r="257" spans="2:14" s="112" customFormat="1" ht="25" customHeight="1">
      <c r="B257" s="647"/>
      <c r="C257" s="108"/>
      <c r="D257" s="108"/>
      <c r="E257" s="108"/>
      <c r="F257" s="847"/>
      <c r="G257" s="848"/>
      <c r="H257" s="849"/>
      <c r="I257" s="849"/>
      <c r="J257" s="849"/>
      <c r="K257" s="895"/>
      <c r="L257" s="846"/>
      <c r="M257" s="846"/>
      <c r="N257" s="846"/>
    </row>
    <row r="258" spans="2:14" s="112" customFormat="1" ht="25" customHeight="1">
      <c r="B258" s="647"/>
      <c r="C258" s="108"/>
      <c r="D258" s="108"/>
      <c r="E258" s="108"/>
      <c r="F258" s="847"/>
      <c r="G258" s="848"/>
      <c r="H258" s="849"/>
      <c r="I258" s="849"/>
      <c r="J258" s="849"/>
      <c r="K258" s="895"/>
      <c r="L258" s="846"/>
      <c r="M258" s="846"/>
      <c r="N258" s="846"/>
    </row>
    <row r="259" spans="2:14" s="112" customFormat="1" ht="25" customHeight="1">
      <c r="B259" s="647"/>
      <c r="C259" s="108"/>
      <c r="D259" s="108"/>
      <c r="E259" s="108"/>
      <c r="F259" s="847"/>
      <c r="G259" s="848"/>
      <c r="H259" s="849"/>
      <c r="I259" s="849"/>
      <c r="J259" s="849"/>
      <c r="K259" s="895"/>
      <c r="L259" s="846"/>
      <c r="M259" s="846"/>
      <c r="N259" s="846"/>
    </row>
    <row r="260" spans="2:14" s="112" customFormat="1" ht="25" customHeight="1">
      <c r="B260" s="647"/>
      <c r="C260" s="108"/>
      <c r="D260" s="108"/>
      <c r="E260" s="108"/>
      <c r="F260" s="847"/>
      <c r="G260" s="848"/>
      <c r="H260" s="849"/>
      <c r="I260" s="849"/>
      <c r="J260" s="849"/>
      <c r="K260" s="895"/>
      <c r="L260" s="846"/>
      <c r="M260" s="846"/>
      <c r="N260" s="846"/>
    </row>
    <row r="261" spans="2:14" s="112" customFormat="1" ht="25" customHeight="1">
      <c r="B261" s="647"/>
      <c r="C261" s="108"/>
      <c r="D261" s="108"/>
      <c r="E261" s="108"/>
      <c r="F261" s="847"/>
      <c r="G261" s="848"/>
      <c r="H261" s="849"/>
      <c r="I261" s="849"/>
      <c r="J261" s="849"/>
      <c r="K261" s="895"/>
      <c r="L261" s="846"/>
      <c r="M261" s="846"/>
      <c r="N261" s="846"/>
    </row>
    <row r="262" spans="2:14" s="112" customFormat="1" ht="25" customHeight="1">
      <c r="B262" s="647"/>
      <c r="C262" s="108"/>
      <c r="D262" s="108"/>
      <c r="E262" s="108"/>
      <c r="F262" s="847"/>
      <c r="G262" s="848"/>
      <c r="H262" s="849"/>
      <c r="I262" s="849"/>
      <c r="J262" s="849"/>
      <c r="K262" s="895"/>
      <c r="L262" s="846"/>
      <c r="M262" s="846"/>
      <c r="N262" s="846"/>
    </row>
    <row r="263" spans="2:14" s="112" customFormat="1" ht="25" customHeight="1">
      <c r="B263" s="647"/>
      <c r="C263" s="108"/>
      <c r="D263" s="108"/>
      <c r="E263" s="108"/>
      <c r="F263" s="847"/>
      <c r="G263" s="848"/>
      <c r="H263" s="849"/>
      <c r="I263" s="849"/>
      <c r="J263" s="849"/>
      <c r="K263" s="895"/>
      <c r="L263" s="846"/>
      <c r="M263" s="846"/>
      <c r="N263" s="846"/>
    </row>
    <row r="264" spans="2:14" s="112" customFormat="1" ht="25" customHeight="1">
      <c r="B264" s="647"/>
      <c r="C264" s="108"/>
      <c r="D264" s="108"/>
      <c r="E264" s="108"/>
      <c r="F264" s="847"/>
      <c r="G264" s="848"/>
      <c r="H264" s="849"/>
      <c r="I264" s="849"/>
      <c r="J264" s="849"/>
      <c r="K264" s="895"/>
      <c r="L264" s="846"/>
      <c r="M264" s="846"/>
      <c r="N264" s="846"/>
    </row>
    <row r="265" spans="2:14" s="112" customFormat="1" ht="25" customHeight="1">
      <c r="B265" s="647"/>
      <c r="C265" s="108"/>
      <c r="D265" s="108"/>
      <c r="E265" s="108"/>
      <c r="F265" s="847"/>
      <c r="G265" s="848"/>
      <c r="H265" s="849"/>
      <c r="I265" s="849"/>
      <c r="J265" s="849"/>
      <c r="K265" s="895"/>
      <c r="L265" s="846"/>
      <c r="M265" s="846"/>
      <c r="N265" s="846"/>
    </row>
    <row r="266" spans="2:14" s="112" customFormat="1" ht="25" customHeight="1">
      <c r="B266" s="647"/>
      <c r="C266" s="108"/>
      <c r="D266" s="108"/>
      <c r="E266" s="108"/>
      <c r="F266" s="847"/>
      <c r="G266" s="848"/>
      <c r="H266" s="849"/>
      <c r="I266" s="849"/>
      <c r="J266" s="849"/>
      <c r="K266" s="895"/>
      <c r="L266" s="846"/>
      <c r="M266" s="846"/>
      <c r="N266" s="846"/>
    </row>
    <row r="267" spans="2:14" s="112" customFormat="1" ht="25" customHeight="1">
      <c r="B267" s="647"/>
      <c r="C267" s="108"/>
      <c r="D267" s="108"/>
      <c r="E267" s="108"/>
      <c r="F267" s="847"/>
      <c r="G267" s="848"/>
      <c r="H267" s="849"/>
      <c r="I267" s="849"/>
      <c r="J267" s="849"/>
      <c r="K267" s="895"/>
      <c r="L267" s="846"/>
      <c r="M267" s="846"/>
      <c r="N267" s="846"/>
    </row>
    <row r="268" spans="2:14" s="112" customFormat="1" ht="25" customHeight="1">
      <c r="B268" s="647"/>
      <c r="C268" s="108"/>
      <c r="D268" s="108"/>
      <c r="E268" s="108"/>
      <c r="F268" s="847"/>
      <c r="G268" s="848"/>
      <c r="H268" s="849"/>
      <c r="I268" s="849"/>
      <c r="J268" s="849"/>
      <c r="K268" s="895"/>
      <c r="L268" s="846"/>
      <c r="M268" s="846"/>
      <c r="N268" s="846"/>
    </row>
    <row r="269" spans="2:14" s="112" customFormat="1" ht="25" customHeight="1">
      <c r="B269" s="648"/>
      <c r="K269" s="895"/>
      <c r="M269" s="851"/>
    </row>
    <row r="270" spans="2:14" s="112" customFormat="1" ht="25" customHeight="1">
      <c r="B270" s="648"/>
      <c r="K270" s="895"/>
      <c r="M270" s="851"/>
    </row>
    <row r="271" spans="2:14" s="112" customFormat="1" ht="25" customHeight="1">
      <c r="B271" s="648"/>
      <c r="K271" s="895"/>
      <c r="M271" s="851"/>
    </row>
    <row r="272" spans="2:14" s="112" customFormat="1" ht="25" customHeight="1">
      <c r="B272" s="648"/>
      <c r="K272" s="895"/>
      <c r="M272" s="851"/>
    </row>
    <row r="273" spans="2:13" s="112" customFormat="1" ht="25" customHeight="1">
      <c r="B273" s="648"/>
      <c r="K273" s="895"/>
      <c r="M273" s="851"/>
    </row>
    <row r="274" spans="2:13" s="112" customFormat="1" ht="25" customHeight="1">
      <c r="B274" s="648"/>
      <c r="K274" s="895"/>
      <c r="M274" s="851"/>
    </row>
    <row r="275" spans="2:13" s="112" customFormat="1" ht="25" customHeight="1">
      <c r="B275" s="648"/>
      <c r="K275" s="895"/>
      <c r="M275" s="851"/>
    </row>
    <row r="276" spans="2:13" s="112" customFormat="1" ht="25" customHeight="1">
      <c r="B276" s="648"/>
      <c r="K276" s="895"/>
      <c r="M276" s="851"/>
    </row>
    <row r="277" spans="2:13" s="112" customFormat="1" ht="25" customHeight="1">
      <c r="B277" s="648"/>
      <c r="K277" s="895"/>
      <c r="M277" s="851"/>
    </row>
    <row r="278" spans="2:13" s="112" customFormat="1" ht="25" customHeight="1">
      <c r="B278" s="648"/>
      <c r="K278" s="895"/>
      <c r="M278" s="851"/>
    </row>
    <row r="279" spans="2:13" s="112" customFormat="1" ht="25" customHeight="1">
      <c r="B279" s="648"/>
      <c r="K279" s="895"/>
      <c r="M279" s="851"/>
    </row>
    <row r="280" spans="2:13" s="112" customFormat="1" ht="25" customHeight="1">
      <c r="B280" s="648"/>
      <c r="K280" s="895"/>
      <c r="M280" s="851"/>
    </row>
    <row r="281" spans="2:13" s="112" customFormat="1" ht="25" customHeight="1">
      <c r="B281" s="648"/>
      <c r="K281" s="895"/>
      <c r="M281" s="851"/>
    </row>
    <row r="282" spans="2:13" s="112" customFormat="1" ht="25" customHeight="1">
      <c r="B282" s="648"/>
      <c r="K282" s="895"/>
      <c r="M282" s="851"/>
    </row>
    <row r="283" spans="2:13" s="112" customFormat="1" ht="25" customHeight="1">
      <c r="B283" s="648"/>
      <c r="K283" s="895"/>
      <c r="M283" s="851"/>
    </row>
    <row r="284" spans="2:13" s="112" customFormat="1" ht="25" customHeight="1">
      <c r="B284" s="648"/>
      <c r="K284" s="895"/>
      <c r="M284" s="851"/>
    </row>
    <row r="285" spans="2:13" s="112" customFormat="1" ht="25" customHeight="1">
      <c r="B285" s="648"/>
      <c r="K285" s="895"/>
      <c r="M285" s="851"/>
    </row>
    <row r="286" spans="2:13" s="112" customFormat="1" ht="25" customHeight="1">
      <c r="B286" s="648"/>
      <c r="K286" s="895"/>
      <c r="M286" s="851"/>
    </row>
    <row r="287" spans="2:13" s="112" customFormat="1" ht="25" customHeight="1">
      <c r="B287" s="648"/>
      <c r="K287" s="895"/>
      <c r="M287" s="851"/>
    </row>
    <row r="288" spans="2:13" s="112" customFormat="1" ht="25" customHeight="1">
      <c r="B288" s="648"/>
      <c r="K288" s="895"/>
      <c r="M288" s="851"/>
    </row>
    <row r="289" spans="2:13" s="112" customFormat="1" ht="25" customHeight="1">
      <c r="B289" s="648"/>
      <c r="K289" s="895"/>
      <c r="M289" s="851"/>
    </row>
    <row r="290" spans="2:13" s="112" customFormat="1" ht="25" customHeight="1">
      <c r="B290" s="648"/>
      <c r="K290" s="895"/>
      <c r="M290" s="851"/>
    </row>
    <row r="291" spans="2:13" s="112" customFormat="1" ht="25" customHeight="1">
      <c r="B291" s="648"/>
      <c r="K291" s="895"/>
      <c r="M291" s="851"/>
    </row>
    <row r="292" spans="2:13" s="112" customFormat="1" ht="25" customHeight="1">
      <c r="B292" s="648"/>
      <c r="K292" s="895"/>
      <c r="M292" s="851"/>
    </row>
    <row r="293" spans="2:13" s="112" customFormat="1" ht="25" customHeight="1">
      <c r="B293" s="648"/>
      <c r="K293" s="895"/>
      <c r="M293" s="851"/>
    </row>
    <row r="294" spans="2:13" s="112" customFormat="1" ht="25" customHeight="1">
      <c r="B294" s="648"/>
      <c r="K294" s="895"/>
      <c r="M294" s="851"/>
    </row>
    <row r="295" spans="2:13" s="112" customFormat="1" ht="25" customHeight="1">
      <c r="B295" s="648"/>
      <c r="K295" s="895"/>
      <c r="M295" s="851"/>
    </row>
    <row r="296" spans="2:13" s="112" customFormat="1" ht="25" customHeight="1">
      <c r="B296" s="648"/>
      <c r="K296" s="895"/>
      <c r="M296" s="851"/>
    </row>
    <row r="297" spans="2:13" s="112" customFormat="1" ht="25" customHeight="1">
      <c r="B297" s="648"/>
      <c r="K297" s="895"/>
      <c r="M297" s="851"/>
    </row>
    <row r="298" spans="2:13" s="112" customFormat="1" ht="25" customHeight="1">
      <c r="B298" s="648"/>
      <c r="K298" s="895"/>
      <c r="M298" s="851"/>
    </row>
    <row r="299" spans="2:13" s="112" customFormat="1" ht="25" customHeight="1">
      <c r="B299" s="648"/>
      <c r="K299" s="895"/>
      <c r="M299" s="851"/>
    </row>
    <row r="300" spans="2:13" s="112" customFormat="1" ht="25" customHeight="1">
      <c r="B300" s="648"/>
      <c r="K300" s="895"/>
      <c r="M300" s="851"/>
    </row>
    <row r="301" spans="2:13" s="112" customFormat="1" ht="25" customHeight="1">
      <c r="B301" s="648"/>
      <c r="K301" s="895"/>
      <c r="M301" s="851"/>
    </row>
    <row r="302" spans="2:13" s="112" customFormat="1" ht="25" customHeight="1">
      <c r="B302" s="648"/>
      <c r="K302" s="895"/>
      <c r="M302" s="851"/>
    </row>
    <row r="303" spans="2:13" s="112" customFormat="1" ht="25" customHeight="1">
      <c r="B303" s="648"/>
      <c r="K303" s="895"/>
      <c r="M303" s="851"/>
    </row>
    <row r="304" spans="2:13" s="112" customFormat="1" ht="25" customHeight="1">
      <c r="B304" s="648"/>
      <c r="K304" s="895"/>
      <c r="M304" s="851"/>
    </row>
    <row r="305" spans="2:13" s="112" customFormat="1" ht="25" customHeight="1">
      <c r="B305" s="648"/>
      <c r="K305" s="895"/>
      <c r="M305" s="851"/>
    </row>
    <row r="306" spans="2:13" s="112" customFormat="1" ht="25" customHeight="1">
      <c r="B306" s="648"/>
      <c r="K306" s="895"/>
      <c r="M306" s="851"/>
    </row>
    <row r="307" spans="2:13" s="112" customFormat="1" ht="25" customHeight="1">
      <c r="B307" s="648"/>
      <c r="K307" s="895"/>
      <c r="M307" s="851"/>
    </row>
    <row r="308" spans="2:13" s="112" customFormat="1" ht="25" customHeight="1">
      <c r="B308" s="648"/>
      <c r="K308" s="895"/>
      <c r="M308" s="851"/>
    </row>
    <row r="309" spans="2:13" s="112" customFormat="1" ht="25" customHeight="1">
      <c r="B309" s="648"/>
      <c r="K309" s="895"/>
      <c r="M309" s="851"/>
    </row>
    <row r="310" spans="2:13" s="112" customFormat="1" ht="25" customHeight="1">
      <c r="B310" s="648"/>
      <c r="K310" s="895"/>
      <c r="M310" s="851"/>
    </row>
    <row r="311" spans="2:13" s="112" customFormat="1" ht="25" customHeight="1">
      <c r="B311" s="648"/>
      <c r="K311" s="895"/>
      <c r="M311" s="851"/>
    </row>
    <row r="312" spans="2:13" s="112" customFormat="1" ht="25" customHeight="1">
      <c r="B312" s="648"/>
      <c r="K312" s="895"/>
      <c r="M312" s="851"/>
    </row>
    <row r="313" spans="2:13" s="112" customFormat="1" ht="25" customHeight="1">
      <c r="B313" s="648"/>
      <c r="K313" s="895"/>
      <c r="M313" s="851"/>
    </row>
    <row r="314" spans="2:13" s="112" customFormat="1" ht="25" customHeight="1">
      <c r="B314" s="648"/>
      <c r="K314" s="895"/>
      <c r="M314" s="851"/>
    </row>
    <row r="315" spans="2:13" s="112" customFormat="1" ht="25" customHeight="1">
      <c r="B315" s="648"/>
      <c r="K315" s="895"/>
      <c r="M315" s="851"/>
    </row>
    <row r="316" spans="2:13" s="112" customFormat="1" ht="25" customHeight="1">
      <c r="B316" s="648"/>
      <c r="K316" s="895"/>
      <c r="M316" s="851"/>
    </row>
    <row r="317" spans="2:13" s="112" customFormat="1" ht="25" customHeight="1">
      <c r="B317" s="648"/>
      <c r="K317" s="895"/>
      <c r="M317" s="851"/>
    </row>
    <row r="318" spans="2:13" s="112" customFormat="1" ht="25" customHeight="1">
      <c r="B318" s="648"/>
      <c r="K318" s="895"/>
      <c r="M318" s="851"/>
    </row>
    <row r="319" spans="2:13" s="112" customFormat="1" ht="25" customHeight="1">
      <c r="B319" s="648"/>
      <c r="K319" s="895"/>
      <c r="M319" s="851"/>
    </row>
    <row r="331" spans="2:4" ht="25" customHeight="1">
      <c r="B331" s="649"/>
      <c r="C331" s="38"/>
      <c r="D331" s="96"/>
    </row>
  </sheetData>
  <sheetProtection algorithmName="SHA-512" hashValue="fKdClGvpicFrfKWlaZrBGHPyZd6cWEbpgUF55beEpzzboDn/fU23cArw1DyG1JqeRDg+EE8XJyYy69QfE8fC7Q==" saltValue="TLqG/au/yk8H5BbQBpvr2A==" spinCount="100000" sheet="1" objects="1" scenarios="1" selectLockedCells="1"/>
  <mergeCells count="47">
    <mergeCell ref="B186:F186"/>
    <mergeCell ref="B187:F187"/>
    <mergeCell ref="B221:G223"/>
    <mergeCell ref="B224:F224"/>
    <mergeCell ref="B112:F112"/>
    <mergeCell ref="B127:F127"/>
    <mergeCell ref="B140:F140"/>
    <mergeCell ref="C132:D132"/>
    <mergeCell ref="E132:F132"/>
    <mergeCell ref="G132:H132"/>
    <mergeCell ref="B137:G139"/>
    <mergeCell ref="B141:F141"/>
    <mergeCell ref="B183:G185"/>
    <mergeCell ref="C131:D131"/>
    <mergeCell ref="E131:F131"/>
    <mergeCell ref="G131:H131"/>
    <mergeCell ref="B108:G110"/>
    <mergeCell ref="B123:G125"/>
    <mergeCell ref="C130:D130"/>
    <mergeCell ref="E130:F130"/>
    <mergeCell ref="G130:H130"/>
    <mergeCell ref="D103:E103"/>
    <mergeCell ref="F103:G103"/>
    <mergeCell ref="H103:I103"/>
    <mergeCell ref="D104:E104"/>
    <mergeCell ref="F104:G104"/>
    <mergeCell ref="H104:I104"/>
    <mergeCell ref="D101:E101"/>
    <mergeCell ref="F101:G101"/>
    <mergeCell ref="H101:I101"/>
    <mergeCell ref="D102:E102"/>
    <mergeCell ref="F102:G102"/>
    <mergeCell ref="H102:I102"/>
    <mergeCell ref="D100:E100"/>
    <mergeCell ref="F100:G100"/>
    <mergeCell ref="H100:I100"/>
    <mergeCell ref="B4:C4"/>
    <mergeCell ref="B15:G17"/>
    <mergeCell ref="B19:F19"/>
    <mergeCell ref="B58:E58"/>
    <mergeCell ref="B68:E68"/>
    <mergeCell ref="B85:G87"/>
    <mergeCell ref="D98:E98"/>
    <mergeCell ref="F98:G98"/>
    <mergeCell ref="H98:I98"/>
    <mergeCell ref="B24:E24"/>
    <mergeCell ref="B43:E43"/>
  </mergeCells>
  <phoneticPr fontId="2" type="noConversion"/>
  <conditionalFormatting sqref="I26:I37 K26:K37 I45:I54 K45:K54 I60:I63 K60:K63 I70:I72 K70:K72 I79:I81 K79:K81 I93:I94 K93:K94 I116:I118 J117:J118 K116:K118">
    <cfRule type="cellIs" dxfId="90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28" r:id="rId3" xr:uid="{7F14D1CB-A769-8349-8EB6-C9B1564A829D}"/>
    <hyperlink ref="B24" location="'NOK - Safespring tjenester 2022'!I81" display="Sentral blokklagring kan kjøpes til innsatsene. Se &quot;Sentral blokklagring&quot; i prislisten." xr:uid="{71FA16BF-8461-2C4C-BF06-99EE335F1919}"/>
    <hyperlink ref="B58" location="'SEK - Safesprings tjänster 2022'!I83" display="Central blocklagring kan köpas till insatserna. Se &quot;Central blocklagring&quot; i prislistan." xr:uid="{0F7D6EBE-406B-D343-BF62-41C617272953}"/>
    <hyperlink ref="B58:E58" location="'SEK - Safesprings tjänster 2022'!I81" display="Central blocklagring kan köpas till insatserna. Se &quot;Central blocklagring&quot; i prislistan." xr:uid="{7E64E7BF-BAA3-654A-8516-E139F449EC73}"/>
    <hyperlink ref="B68" location="'SEK - Safesprings tjänster 2022'!I83" display="Central blocklagring kan köpas till insatserna. Se &quot;Central blocklagring&quot; i prislistan." xr:uid="{75FFEC3A-33F0-2843-9D30-6F73F6C7DA12}"/>
    <hyperlink ref="B68:E68" location="'SEK - Safesprings tjänster 2022'!I81" display="Central blocklagring kan köpas till insatserna. Se &quot;Central blocklagring&quot; i prislistan." xr:uid="{9FF4445D-B089-1147-93E8-440AA59C77E4}"/>
    <hyperlink ref="B24:E24" location="'NOK - Safespring tjenester 2022'!I81" display="Sentral blokklagring kan kjøpes til innsatsene. Se &quot;Sentral blokklagring&quot; i prislisten." xr:uid="{C1663E3B-252B-2D4D-866C-BD03938BBBB4}"/>
    <hyperlink ref="B43" location="'NOK - Safespring tjenester 2022'!I81" display="Sentral blokklagring kan kjøpes til innsatsene. Se &quot;Sentral blokklagring&quot; i prislisten." xr:uid="{D2571FAA-20C1-E749-9CA1-79CF9024940D}"/>
    <hyperlink ref="B43:E43" location="'NOK - Safespring tjenester 2022'!I81" display="Sentral blokklagring kan kjøpes til innsatsene. Se &quot;Sentral blokklagring&quot; i prislisten." xr:uid="{97DE0CB5-B64F-7A40-A5B5-BEA8691966DC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3" man="1"/>
    <brk id="82" max="13" man="1"/>
    <brk id="238" max="13" man="1"/>
    <brk id="258" max="13" man="1"/>
    <brk id="280" max="16383" man="1"/>
  </rowBreak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8" name="Option Button 2">
              <controlPr defaultSize="0" autoFill="0" autoLine="0" autoPict="0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9" name="Option Button 3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321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8" ht="25.5" customHeight="1">
      <c r="A1" s="601"/>
      <c r="B1" s="61"/>
      <c r="C1" s="61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7"/>
      <c r="O1" s="160"/>
    </row>
    <row r="2" spans="1:28" ht="25.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7"/>
      <c r="O2" s="160"/>
    </row>
    <row r="3" spans="1:28" ht="25.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7"/>
      <c r="O3" s="160"/>
    </row>
    <row r="4" spans="1:28" ht="25.5" customHeight="1">
      <c r="A4" s="157"/>
      <c r="B4" s="1020"/>
      <c r="C4" s="1020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7"/>
      <c r="O4" s="160"/>
    </row>
    <row r="5" spans="1:28" ht="25.5" customHeight="1">
      <c r="A5" s="157"/>
      <c r="B5" s="65" t="s">
        <v>439</v>
      </c>
      <c r="C5" s="65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7"/>
      <c r="O5" s="160"/>
    </row>
    <row r="6" spans="1:28" ht="25.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7"/>
      <c r="O6" s="160"/>
    </row>
    <row r="7" spans="1:28" ht="25.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7"/>
      <c r="O7" s="160"/>
    </row>
    <row r="8" spans="1:28" ht="25.5" customHeight="1">
      <c r="A8" s="157"/>
      <c r="B8" s="68" t="s">
        <v>263</v>
      </c>
      <c r="C8" s="61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7"/>
      <c r="O8" s="160"/>
    </row>
    <row r="9" spans="1:28" ht="25.5" customHeight="1">
      <c r="A9" s="157"/>
      <c r="B9" s="77" t="s">
        <v>440</v>
      </c>
      <c r="C9" s="61"/>
      <c r="D9" s="600"/>
      <c r="E9" s="157"/>
      <c r="F9" s="157"/>
      <c r="G9" s="157"/>
      <c r="H9" s="157"/>
      <c r="I9" s="157"/>
      <c r="J9" s="157"/>
      <c r="K9" s="158"/>
      <c r="L9" s="157"/>
      <c r="M9" s="159"/>
      <c r="N9" s="157"/>
      <c r="O9" s="160"/>
    </row>
    <row r="10" spans="1:28" ht="25.5" customHeight="1">
      <c r="A10" s="157"/>
      <c r="B10" s="400" t="s">
        <v>193</v>
      </c>
      <c r="C10" s="402"/>
      <c r="D10" s="157"/>
      <c r="E10" s="157"/>
      <c r="F10" s="157"/>
      <c r="G10" s="157"/>
      <c r="H10" s="157"/>
      <c r="I10" s="157"/>
      <c r="J10" s="157"/>
      <c r="K10" s="158"/>
      <c r="L10" s="157"/>
      <c r="M10" s="159"/>
      <c r="N10" s="157"/>
      <c r="O10" s="160"/>
    </row>
    <row r="11" spans="1:28" s="169" customFormat="1" ht="25.5" customHeight="1">
      <c r="A11" s="162"/>
      <c r="B11" s="62"/>
      <c r="C11" s="62"/>
      <c r="D11" s="1022" t="str">
        <f>"1 SEK = "&amp;NOK&amp;" NOK"</f>
        <v>1 SEK = 1 NOK</v>
      </c>
      <c r="E11" s="1022"/>
      <c r="F11" s="1022"/>
      <c r="G11" s="164"/>
      <c r="H11" s="164"/>
      <c r="I11" s="165"/>
      <c r="J11" s="162"/>
      <c r="K11" s="166"/>
      <c r="L11" s="162"/>
      <c r="M11" s="167"/>
      <c r="N11" s="162"/>
      <c r="O11" s="168"/>
    </row>
    <row r="12" spans="1:28" s="169" customFormat="1" ht="25.5" customHeight="1">
      <c r="A12" s="170"/>
      <c r="B12" s="64"/>
      <c r="C12" s="64"/>
      <c r="D12" s="63"/>
      <c r="E12" s="63"/>
      <c r="F12" s="171"/>
      <c r="G12" s="171"/>
      <c r="H12" s="171"/>
      <c r="I12" s="172"/>
      <c r="J12" s="170"/>
      <c r="K12" s="173"/>
      <c r="L12" s="170"/>
      <c r="M12" s="174"/>
      <c r="N12" s="175"/>
      <c r="O12" s="168"/>
    </row>
    <row r="13" spans="1:28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O13" s="168"/>
    </row>
    <row r="14" spans="1:28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O14" s="168"/>
    </row>
    <row r="15" spans="1:28" s="169" customFormat="1" ht="25.5" customHeight="1">
      <c r="B15" s="994" t="s">
        <v>4</v>
      </c>
      <c r="C15" s="994"/>
      <c r="D15" s="994"/>
      <c r="E15" s="994"/>
      <c r="F15" s="994"/>
      <c r="G15" s="994"/>
      <c r="H15" s="177"/>
      <c r="J15" s="178"/>
      <c r="K15" s="178"/>
      <c r="M15" s="179"/>
      <c r="O15" s="168"/>
      <c r="U15" s="180"/>
      <c r="Z15" s="180"/>
      <c r="AA15" s="180"/>
      <c r="AB15" s="180"/>
    </row>
    <row r="16" spans="1:28" s="169" customFormat="1" ht="25.5" customHeight="1">
      <c r="B16" s="994"/>
      <c r="C16" s="994"/>
      <c r="D16" s="994"/>
      <c r="E16" s="994"/>
      <c r="F16" s="994"/>
      <c r="G16" s="994"/>
      <c r="H16" s="177"/>
      <c r="J16" s="178"/>
      <c r="K16" s="178"/>
      <c r="M16" s="179"/>
      <c r="O16" s="168"/>
      <c r="U16" s="180"/>
      <c r="Z16" s="180"/>
      <c r="AA16" s="180"/>
      <c r="AB16" s="180"/>
    </row>
    <row r="17" spans="2:28" s="169" customFormat="1" ht="25.5" customHeight="1">
      <c r="B17" s="994"/>
      <c r="C17" s="994"/>
      <c r="D17" s="994"/>
      <c r="E17" s="994"/>
      <c r="F17" s="994"/>
      <c r="G17" s="994"/>
      <c r="H17" s="177"/>
      <c r="J17" s="178"/>
      <c r="K17" s="178"/>
      <c r="M17" s="179"/>
      <c r="O17" s="168"/>
      <c r="U17" s="180"/>
      <c r="Z17" s="180"/>
      <c r="AA17" s="180"/>
      <c r="AB17" s="180"/>
    </row>
    <row r="18" spans="2:28" s="169" customFormat="1" ht="25.5" customHeight="1">
      <c r="B18" s="551" t="s">
        <v>265</v>
      </c>
      <c r="C18" s="551"/>
      <c r="D18" s="551"/>
      <c r="E18" s="551"/>
      <c r="F18" s="547"/>
      <c r="H18" s="177"/>
      <c r="J18" s="178"/>
      <c r="K18" s="178"/>
      <c r="M18" s="179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.5" customHeight="1">
      <c r="B19" s="1021" t="s">
        <v>266</v>
      </c>
      <c r="C19" s="1021"/>
      <c r="D19" s="1021"/>
      <c r="E19" s="1021"/>
      <c r="F19" s="1021"/>
      <c r="G19" s="182"/>
      <c r="H19" s="183"/>
      <c r="I19" s="182"/>
      <c r="J19" s="184"/>
      <c r="K19" s="185"/>
      <c r="L19" s="182"/>
      <c r="M19" s="18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.5" customHeight="1">
      <c r="B20" s="552" t="s">
        <v>400</v>
      </c>
      <c r="C20" s="553"/>
      <c r="D20" s="553"/>
      <c r="E20" s="553"/>
      <c r="F20" s="546"/>
      <c r="G20" s="182"/>
      <c r="H20" s="183"/>
      <c r="I20" s="182"/>
      <c r="J20" s="184"/>
      <c r="K20" s="185"/>
      <c r="L20" s="182"/>
      <c r="M20" s="18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.5" customHeight="1">
      <c r="B21" s="133"/>
      <c r="C21" s="133"/>
      <c r="D21" s="133"/>
      <c r="E21" s="133"/>
      <c r="F21" s="530"/>
      <c r="G21" s="182"/>
      <c r="H21" s="183"/>
      <c r="I21" s="182"/>
      <c r="J21" s="184"/>
      <c r="K21" s="185"/>
      <c r="L21" s="182"/>
      <c r="M21" s="18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.5" customHeight="1">
      <c r="B22" s="133"/>
      <c r="C22" s="133"/>
      <c r="D22" s="133"/>
      <c r="E22" s="133"/>
      <c r="F22" s="530"/>
      <c r="G22" s="182"/>
      <c r="H22" s="183"/>
      <c r="I22" s="182"/>
      <c r="J22" s="184"/>
      <c r="K22" s="182"/>
      <c r="L22" s="186"/>
      <c r="M22" s="18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31">
      <c r="B23" s="443" t="s">
        <v>267</v>
      </c>
      <c r="C23" s="9"/>
      <c r="D23" s="9"/>
      <c r="K23" s="191"/>
      <c r="N23" s="479"/>
      <c r="O23" s="160"/>
    </row>
    <row r="24" spans="2:28" s="196" customFormat="1" ht="52">
      <c r="B24" s="444" t="s">
        <v>208</v>
      </c>
      <c r="C24" s="11" t="s">
        <v>10</v>
      </c>
      <c r="D24" s="11" t="s">
        <v>11</v>
      </c>
      <c r="E24" s="12" t="s">
        <v>209</v>
      </c>
      <c r="F24" s="192"/>
      <c r="G24" s="193" t="s">
        <v>268</v>
      </c>
      <c r="H24" s="193" t="s">
        <v>269</v>
      </c>
      <c r="I24" s="194" t="s">
        <v>270</v>
      </c>
      <c r="J24" s="195"/>
      <c r="K24" s="193" t="s">
        <v>215</v>
      </c>
      <c r="O24" s="197"/>
      <c r="Q24" s="198"/>
      <c r="R24" s="199"/>
      <c r="S24" s="199"/>
      <c r="T24" s="199"/>
      <c r="U24" s="198"/>
    </row>
    <row r="25" spans="2:28" s="180" customFormat="1" ht="25.5" customHeight="1">
      <c r="B25" s="445" t="s">
        <v>19</v>
      </c>
      <c r="C25" s="14">
        <v>1</v>
      </c>
      <c r="D25" s="14">
        <v>1</v>
      </c>
      <c r="E25" s="114">
        <v>40</v>
      </c>
      <c r="F25" s="200"/>
      <c r="G25" s="201">
        <f t="shared" ref="G25:G35" si="0">H25/720</f>
        <v>0.38750000000000001</v>
      </c>
      <c r="H25" s="202">
        <f>C25*IAAS_vcpu_SEK+D25*IAAS_ram_SEK+E25*IAAS_ssd_SEK</f>
        <v>279</v>
      </c>
      <c r="I25" s="203"/>
      <c r="J25" s="200" t="s">
        <v>60</v>
      </c>
      <c r="K25" s="204">
        <f t="shared" ref="K25:K37" si="1">ROUNDUP(I25*H25,2)</f>
        <v>0</v>
      </c>
      <c r="N25" s="478"/>
      <c r="O25" s="205"/>
      <c r="P25" s="481"/>
      <c r="R25" s="480"/>
    </row>
    <row r="26" spans="2:28" s="180" customFormat="1" ht="25.5" customHeight="1">
      <c r="B26" s="446" t="s">
        <v>20</v>
      </c>
      <c r="C26" s="16">
        <v>1</v>
      </c>
      <c r="D26" s="16">
        <v>2</v>
      </c>
      <c r="E26" s="434">
        <v>40</v>
      </c>
      <c r="F26" s="206"/>
      <c r="G26" s="207">
        <f t="shared" si="0"/>
        <v>0.46388888888888891</v>
      </c>
      <c r="H26" s="208">
        <f t="shared" ref="H26:H35" si="2">C26*IAAS_vcpu_SEK+D26*IAAS_ram_SEK+E26*IAAS_ssd_SEK</f>
        <v>334</v>
      </c>
      <c r="I26" s="203"/>
      <c r="J26" s="206" t="s">
        <v>60</v>
      </c>
      <c r="K26" s="209">
        <f t="shared" si="1"/>
        <v>0</v>
      </c>
      <c r="N26" s="478"/>
      <c r="O26" s="205"/>
      <c r="P26" s="481"/>
      <c r="Q26" s="480"/>
    </row>
    <row r="27" spans="2:28" s="180" customFormat="1" ht="25.5" customHeight="1">
      <c r="B27" s="445" t="s">
        <v>21</v>
      </c>
      <c r="C27" s="14">
        <v>2</v>
      </c>
      <c r="D27" s="14">
        <v>4</v>
      </c>
      <c r="E27" s="114">
        <v>40</v>
      </c>
      <c r="F27" s="200"/>
      <c r="G27" s="201">
        <f t="shared" si="0"/>
        <v>0.72777777777777775</v>
      </c>
      <c r="H27" s="202">
        <f t="shared" si="2"/>
        <v>524</v>
      </c>
      <c r="I27" s="203"/>
      <c r="J27" s="200" t="s">
        <v>60</v>
      </c>
      <c r="K27" s="204">
        <f t="shared" si="1"/>
        <v>0</v>
      </c>
      <c r="L27" s="210"/>
      <c r="N27" s="478"/>
      <c r="O27" s="205"/>
      <c r="P27" s="481"/>
      <c r="Q27" s="480"/>
    </row>
    <row r="28" spans="2:28" s="180" customFormat="1" ht="25.5" customHeight="1">
      <c r="B28" s="446" t="s">
        <v>22</v>
      </c>
      <c r="C28" s="16">
        <v>4</v>
      </c>
      <c r="D28" s="16">
        <v>8</v>
      </c>
      <c r="E28" s="434">
        <v>40</v>
      </c>
      <c r="F28" s="206"/>
      <c r="G28" s="207">
        <f t="shared" si="0"/>
        <v>1.2555555555555555</v>
      </c>
      <c r="H28" s="208">
        <f t="shared" si="2"/>
        <v>904</v>
      </c>
      <c r="I28" s="203"/>
      <c r="J28" s="206" t="s">
        <v>60</v>
      </c>
      <c r="K28" s="209">
        <f t="shared" si="1"/>
        <v>0</v>
      </c>
      <c r="N28" s="478"/>
      <c r="O28" s="205"/>
      <c r="P28" s="481"/>
      <c r="Q28" s="480"/>
    </row>
    <row r="29" spans="2:28" s="180" customFormat="1" ht="25.5" customHeight="1">
      <c r="B29" s="445" t="s">
        <v>23</v>
      </c>
      <c r="C29" s="14">
        <v>8</v>
      </c>
      <c r="D29" s="14">
        <v>16</v>
      </c>
      <c r="E29" s="114">
        <v>40</v>
      </c>
      <c r="F29" s="200"/>
      <c r="G29" s="201">
        <f t="shared" si="0"/>
        <v>2.3111111111111109</v>
      </c>
      <c r="H29" s="202">
        <f t="shared" si="2"/>
        <v>1664</v>
      </c>
      <c r="I29" s="203"/>
      <c r="J29" s="200" t="s">
        <v>60</v>
      </c>
      <c r="K29" s="204">
        <f t="shared" si="1"/>
        <v>0</v>
      </c>
      <c r="N29" s="478"/>
      <c r="O29" s="205"/>
      <c r="P29" s="481"/>
    </row>
    <row r="30" spans="2:28" s="180" customFormat="1" ht="25.5" customHeight="1">
      <c r="B30" s="446" t="s">
        <v>24</v>
      </c>
      <c r="C30" s="16">
        <v>16</v>
      </c>
      <c r="D30" s="16">
        <v>32</v>
      </c>
      <c r="E30" s="434">
        <v>40</v>
      </c>
      <c r="F30" s="206"/>
      <c r="G30" s="207">
        <f t="shared" si="0"/>
        <v>4.4222222222222225</v>
      </c>
      <c r="H30" s="208">
        <f t="shared" si="2"/>
        <v>3184</v>
      </c>
      <c r="I30" s="203"/>
      <c r="J30" s="206" t="s">
        <v>60</v>
      </c>
      <c r="K30" s="209">
        <f t="shared" si="1"/>
        <v>0</v>
      </c>
      <c r="N30" s="478"/>
      <c r="O30" s="205"/>
      <c r="P30" s="481"/>
    </row>
    <row r="31" spans="2:28" s="180" customFormat="1" ht="25.5" customHeight="1">
      <c r="B31" s="445" t="s">
        <v>25</v>
      </c>
      <c r="C31" s="14">
        <v>1</v>
      </c>
      <c r="D31" s="14">
        <v>4</v>
      </c>
      <c r="E31" s="114">
        <v>40</v>
      </c>
      <c r="F31" s="200"/>
      <c r="G31" s="201">
        <f t="shared" si="0"/>
        <v>0.6166666666666667</v>
      </c>
      <c r="H31" s="202">
        <f t="shared" si="2"/>
        <v>444</v>
      </c>
      <c r="I31" s="203"/>
      <c r="J31" s="200" t="s">
        <v>60</v>
      </c>
      <c r="K31" s="204">
        <f t="shared" si="1"/>
        <v>0</v>
      </c>
      <c r="N31" s="478"/>
      <c r="O31" s="205"/>
    </row>
    <row r="32" spans="2:28" s="180" customFormat="1" ht="25.5" customHeight="1">
      <c r="B32" s="446" t="s">
        <v>26</v>
      </c>
      <c r="C32" s="16">
        <v>2</v>
      </c>
      <c r="D32" s="16">
        <v>8</v>
      </c>
      <c r="E32" s="434">
        <v>40</v>
      </c>
      <c r="F32" s="206"/>
      <c r="G32" s="207">
        <f t="shared" si="0"/>
        <v>1.0333333333333334</v>
      </c>
      <c r="H32" s="208">
        <f t="shared" si="2"/>
        <v>744</v>
      </c>
      <c r="I32" s="203"/>
      <c r="J32" s="206" t="s">
        <v>60</v>
      </c>
      <c r="K32" s="209">
        <f t="shared" si="1"/>
        <v>0</v>
      </c>
      <c r="N32" s="478"/>
      <c r="O32" s="205"/>
    </row>
    <row r="33" spans="2:20" s="180" customFormat="1" ht="25.5" customHeight="1">
      <c r="B33" s="445" t="s">
        <v>27</v>
      </c>
      <c r="C33" s="14">
        <v>4</v>
      </c>
      <c r="D33" s="14">
        <v>16</v>
      </c>
      <c r="E33" s="114">
        <v>40</v>
      </c>
      <c r="F33" s="200"/>
      <c r="G33" s="201">
        <f t="shared" si="0"/>
        <v>1.8666666666666667</v>
      </c>
      <c r="H33" s="202">
        <f t="shared" si="2"/>
        <v>1344</v>
      </c>
      <c r="I33" s="203"/>
      <c r="J33" s="200" t="s">
        <v>60</v>
      </c>
      <c r="K33" s="204">
        <f t="shared" si="1"/>
        <v>0</v>
      </c>
      <c r="N33" s="478"/>
      <c r="O33" s="205"/>
    </row>
    <row r="34" spans="2:20" s="180" customFormat="1" ht="25.5" customHeight="1">
      <c r="B34" s="446" t="s">
        <v>28</v>
      </c>
      <c r="C34" s="16">
        <v>8</v>
      </c>
      <c r="D34" s="16">
        <v>32</v>
      </c>
      <c r="E34" s="434">
        <v>40</v>
      </c>
      <c r="F34" s="206"/>
      <c r="G34" s="207">
        <f t="shared" si="0"/>
        <v>3.5333333333333332</v>
      </c>
      <c r="H34" s="208">
        <f t="shared" si="2"/>
        <v>2544</v>
      </c>
      <c r="I34" s="203"/>
      <c r="J34" s="206" t="s">
        <v>60</v>
      </c>
      <c r="K34" s="209">
        <f t="shared" si="1"/>
        <v>0</v>
      </c>
      <c r="N34" s="478"/>
      <c r="O34" s="205"/>
      <c r="R34" s="188"/>
      <c r="S34" s="188"/>
      <c r="T34" s="188"/>
    </row>
    <row r="35" spans="2:20" s="180" customFormat="1" ht="25.5" customHeight="1">
      <c r="B35" s="445" t="s">
        <v>29</v>
      </c>
      <c r="C35" s="14">
        <v>16</v>
      </c>
      <c r="D35" s="14">
        <v>64</v>
      </c>
      <c r="E35" s="114">
        <v>40</v>
      </c>
      <c r="F35" s="200"/>
      <c r="G35" s="201">
        <f t="shared" si="0"/>
        <v>6.8666666666666663</v>
      </c>
      <c r="H35" s="202">
        <f t="shared" si="2"/>
        <v>4944</v>
      </c>
      <c r="I35" s="203"/>
      <c r="J35" s="200" t="s">
        <v>60</v>
      </c>
      <c r="K35" s="204">
        <f t="shared" si="1"/>
        <v>0</v>
      </c>
      <c r="O35" s="205"/>
      <c r="R35" s="188"/>
      <c r="S35" s="188"/>
      <c r="T35" s="188"/>
    </row>
    <row r="36" spans="2:20" s="180" customFormat="1" ht="25.5" customHeight="1">
      <c r="B36" s="446" t="s">
        <v>397</v>
      </c>
      <c r="C36" s="16">
        <v>32</v>
      </c>
      <c r="D36" s="16">
        <v>128</v>
      </c>
      <c r="E36" s="434">
        <v>40</v>
      </c>
      <c r="F36" s="206"/>
      <c r="G36" s="207">
        <f t="shared" ref="G36:G37" si="3">H36/720</f>
        <v>13.533333333333333</v>
      </c>
      <c r="H36" s="208">
        <f t="shared" ref="H36:H37" si="4">C36*IAAS_vcpu_SEK+D36*IAAS_ram_SEK+E36*IAAS_ssd_SEK</f>
        <v>9744</v>
      </c>
      <c r="I36" s="203"/>
      <c r="J36" s="206" t="s">
        <v>60</v>
      </c>
      <c r="K36" s="209">
        <f t="shared" si="1"/>
        <v>0</v>
      </c>
      <c r="N36" s="478"/>
      <c r="O36" s="205"/>
      <c r="R36" s="188"/>
      <c r="S36" s="188"/>
      <c r="T36" s="188"/>
    </row>
    <row r="37" spans="2:20" s="180" customFormat="1" ht="25.5" customHeight="1">
      <c r="B37" s="445" t="s">
        <v>398</v>
      </c>
      <c r="C37" s="14">
        <v>64</v>
      </c>
      <c r="D37" s="14">
        <v>256</v>
      </c>
      <c r="E37" s="114">
        <v>40</v>
      </c>
      <c r="F37" s="200"/>
      <c r="G37" s="201">
        <f t="shared" si="3"/>
        <v>26.866666666666667</v>
      </c>
      <c r="H37" s="202">
        <f t="shared" si="4"/>
        <v>19344</v>
      </c>
      <c r="I37" s="203"/>
      <c r="J37" s="200" t="s">
        <v>60</v>
      </c>
      <c r="K37" s="204">
        <f t="shared" si="1"/>
        <v>0</v>
      </c>
      <c r="O37" s="205"/>
      <c r="R37" s="188"/>
      <c r="S37" s="188"/>
      <c r="T37" s="188"/>
    </row>
    <row r="38" spans="2:20" ht="25.5" customHeight="1">
      <c r="B38" s="447" t="s">
        <v>85</v>
      </c>
      <c r="C38" s="548" cm="1">
        <f t="array" ref="C38">SUM(C25:C37*I25:I37)</f>
        <v>0</v>
      </c>
      <c r="D38" s="548" cm="1">
        <f t="array" ref="D38">SUM(D25:D37*I25:I37)</f>
        <v>0</v>
      </c>
      <c r="E38" s="548" cm="1">
        <f t="array" ref="E38">SUM(E25:E37*I25:I37)</f>
        <v>0</v>
      </c>
      <c r="F38" s="280"/>
      <c r="G38" s="280"/>
      <c r="H38" s="280"/>
      <c r="I38" s="280" t="str">
        <f>SUM(I25:I37)&amp;" st"</f>
        <v>0 st</v>
      </c>
      <c r="J38" s="156"/>
      <c r="K38" s="545">
        <f>SUM(K25:K35)</f>
        <v>0</v>
      </c>
      <c r="O38" s="160"/>
      <c r="R38" s="188"/>
      <c r="S38" s="188"/>
      <c r="T38" s="214"/>
    </row>
    <row r="39" spans="2:20" ht="25.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.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31">
      <c r="B41" s="416" t="s">
        <v>217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52">
      <c r="B42" s="444" t="s">
        <v>208</v>
      </c>
      <c r="C42" s="11" t="s">
        <v>10</v>
      </c>
      <c r="D42" s="11" t="s">
        <v>11</v>
      </c>
      <c r="E42" s="12" t="s">
        <v>209</v>
      </c>
      <c r="F42" s="192"/>
      <c r="G42" s="193" t="s">
        <v>268</v>
      </c>
      <c r="H42" s="193" t="s">
        <v>269</v>
      </c>
      <c r="I42" s="194" t="s">
        <v>270</v>
      </c>
      <c r="J42" s="195"/>
      <c r="K42" s="193" t="s">
        <v>215</v>
      </c>
      <c r="N42" s="161"/>
      <c r="O42" s="160"/>
      <c r="P42" s="161"/>
      <c r="Q42" s="161"/>
      <c r="R42" s="188"/>
      <c r="S42" s="188"/>
      <c r="T42" s="214"/>
    </row>
    <row r="43" spans="2:20" s="180" customFormat="1" ht="25.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232">
        <f t="shared" ref="G43:G65" si="5">H43/720</f>
        <v>0.2013888888888889</v>
      </c>
      <c r="H43" s="233">
        <f t="shared" ref="H43:H65" si="6">C43*IAAS_vcpu_SEK+D43*IAAS_ram_SEK+E43*IAAS_nvme_SEK</f>
        <v>145</v>
      </c>
      <c r="I43" s="203"/>
      <c r="J43" s="200" t="s">
        <v>60</v>
      </c>
      <c r="K43" s="204">
        <f t="shared" ref="K43:K66" si="7">ROUNDUP(I43*H43,2)</f>
        <v>0</v>
      </c>
      <c r="O43" s="205"/>
      <c r="R43" s="188"/>
      <c r="T43" s="188"/>
    </row>
    <row r="44" spans="2:20" s="180" customFormat="1" ht="25.5" customHeight="1">
      <c r="B44" s="446" t="s">
        <v>402</v>
      </c>
      <c r="C44" s="95">
        <v>1</v>
      </c>
      <c r="D44" s="95">
        <v>2</v>
      </c>
      <c r="E44" s="113">
        <v>20</v>
      </c>
      <c r="F44" s="228"/>
      <c r="G44" s="229">
        <f t="shared" si="5"/>
        <v>0.29166666666666669</v>
      </c>
      <c r="H44" s="230">
        <f t="shared" si="6"/>
        <v>210</v>
      </c>
      <c r="I44" s="203"/>
      <c r="J44" s="206" t="s">
        <v>60</v>
      </c>
      <c r="K44" s="209">
        <f t="shared" si="7"/>
        <v>0</v>
      </c>
      <c r="O44" s="205"/>
      <c r="R44" s="188"/>
      <c r="T44" s="188"/>
    </row>
    <row r="45" spans="2:20" s="180" customFormat="1" ht="25.5" customHeight="1">
      <c r="B45" s="445" t="s">
        <v>404</v>
      </c>
      <c r="C45" s="97">
        <v>2</v>
      </c>
      <c r="D45" s="97">
        <v>4</v>
      </c>
      <c r="E45" s="98">
        <v>250</v>
      </c>
      <c r="F45" s="231"/>
      <c r="G45" s="232">
        <f t="shared" si="5"/>
        <v>0.875</v>
      </c>
      <c r="H45" s="233">
        <f t="shared" si="6"/>
        <v>630</v>
      </c>
      <c r="I45" s="203"/>
      <c r="J45" s="200" t="s">
        <v>60</v>
      </c>
      <c r="K45" s="204">
        <f t="shared" si="7"/>
        <v>0</v>
      </c>
      <c r="O45" s="205"/>
      <c r="R45" s="188"/>
      <c r="T45" s="188"/>
    </row>
    <row r="46" spans="2:20" s="180" customFormat="1" ht="25.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229">
        <f t="shared" si="5"/>
        <v>1.4027777777777777</v>
      </c>
      <c r="H46" s="230">
        <f t="shared" si="6"/>
        <v>1010</v>
      </c>
      <c r="I46" s="203"/>
      <c r="J46" s="206" t="s">
        <v>60</v>
      </c>
      <c r="K46" s="209">
        <f t="shared" si="7"/>
        <v>0</v>
      </c>
      <c r="O46" s="205"/>
      <c r="R46" s="188"/>
      <c r="T46" s="188"/>
    </row>
    <row r="47" spans="2:20" s="180" customFormat="1" ht="25.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232">
        <f t="shared" si="5"/>
        <v>2.4583333333333335</v>
      </c>
      <c r="H47" s="233">
        <f t="shared" si="6"/>
        <v>1770</v>
      </c>
      <c r="I47" s="203"/>
      <c r="J47" s="200" t="s">
        <v>60</v>
      </c>
      <c r="K47" s="204">
        <f t="shared" si="7"/>
        <v>0</v>
      </c>
      <c r="O47" s="205"/>
      <c r="R47" s="188"/>
      <c r="T47" s="188"/>
    </row>
    <row r="48" spans="2:20" s="180" customFormat="1" ht="25.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229">
        <f t="shared" si="5"/>
        <v>4.5694444444444446</v>
      </c>
      <c r="H48" s="230">
        <f t="shared" si="6"/>
        <v>3290</v>
      </c>
      <c r="I48" s="203"/>
      <c r="J48" s="206" t="s">
        <v>60</v>
      </c>
      <c r="K48" s="209">
        <f t="shared" si="7"/>
        <v>0</v>
      </c>
      <c r="O48" s="205"/>
      <c r="R48" s="188"/>
      <c r="T48" s="188"/>
    </row>
    <row r="49" spans="2:20" s="180" customFormat="1" ht="25.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232">
        <f t="shared" si="5"/>
        <v>4.916666666666667</v>
      </c>
      <c r="H49" s="233">
        <f t="shared" si="6"/>
        <v>3540</v>
      </c>
      <c r="I49" s="203"/>
      <c r="J49" s="200" t="s">
        <v>60</v>
      </c>
      <c r="K49" s="204">
        <f t="shared" si="7"/>
        <v>0</v>
      </c>
      <c r="O49" s="205"/>
      <c r="R49" s="188"/>
      <c r="T49" s="188"/>
    </row>
    <row r="50" spans="2:20" s="180" customFormat="1" ht="25.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229">
        <f t="shared" si="5"/>
        <v>5.6111111111111107</v>
      </c>
      <c r="H50" s="230">
        <f t="shared" si="6"/>
        <v>4040</v>
      </c>
      <c r="I50" s="203"/>
      <c r="J50" s="206" t="s">
        <v>60</v>
      </c>
      <c r="K50" s="209">
        <f t="shared" si="7"/>
        <v>0</v>
      </c>
      <c r="O50" s="205"/>
      <c r="R50" s="188"/>
      <c r="T50" s="188"/>
    </row>
    <row r="51" spans="2:20" s="180" customFormat="1" ht="25.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232">
        <f t="shared" si="5"/>
        <v>8.7916666666666661</v>
      </c>
      <c r="H51" s="233">
        <f t="shared" si="6"/>
        <v>6330</v>
      </c>
      <c r="I51" s="203"/>
      <c r="J51" s="200" t="s">
        <v>60</v>
      </c>
      <c r="K51" s="204">
        <f t="shared" si="7"/>
        <v>0</v>
      </c>
      <c r="O51" s="205"/>
      <c r="R51" s="188"/>
      <c r="T51" s="188"/>
    </row>
    <row r="52" spans="2:20" s="180" customFormat="1" ht="25.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229">
        <f t="shared" si="5"/>
        <v>9.1388888888888893</v>
      </c>
      <c r="H52" s="230">
        <f t="shared" si="6"/>
        <v>6580</v>
      </c>
      <c r="I52" s="203"/>
      <c r="J52" s="206" t="s">
        <v>60</v>
      </c>
      <c r="K52" s="209">
        <f t="shared" si="7"/>
        <v>0</v>
      </c>
      <c r="O52" s="205"/>
      <c r="R52" s="188"/>
      <c r="T52" s="188"/>
    </row>
    <row r="53" spans="2:20" s="180" customFormat="1" ht="25.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232">
        <f t="shared" si="5"/>
        <v>9.8333333333333339</v>
      </c>
      <c r="H53" s="233">
        <f t="shared" si="6"/>
        <v>7080</v>
      </c>
      <c r="I53" s="203"/>
      <c r="J53" s="200" t="s">
        <v>60</v>
      </c>
      <c r="K53" s="204">
        <f t="shared" si="7"/>
        <v>0</v>
      </c>
      <c r="O53" s="205"/>
      <c r="R53" s="188"/>
      <c r="T53" s="188"/>
    </row>
    <row r="54" spans="2:20" s="180" customFormat="1" ht="25.5" customHeight="1">
      <c r="B54" s="446" t="s">
        <v>403</v>
      </c>
      <c r="C54" s="95">
        <v>1</v>
      </c>
      <c r="D54" s="95">
        <v>4</v>
      </c>
      <c r="E54" s="113">
        <v>20</v>
      </c>
      <c r="F54" s="228"/>
      <c r="G54" s="229">
        <f t="shared" si="5"/>
        <v>0.44444444444444442</v>
      </c>
      <c r="H54" s="230">
        <f t="shared" si="6"/>
        <v>320</v>
      </c>
      <c r="I54" s="203"/>
      <c r="J54" s="206" t="s">
        <v>60</v>
      </c>
      <c r="K54" s="209">
        <f t="shared" si="7"/>
        <v>0</v>
      </c>
      <c r="O54" s="205"/>
      <c r="R54" s="188"/>
      <c r="T54" s="188"/>
    </row>
    <row r="55" spans="2:20" s="180" customFormat="1" ht="25.5" customHeight="1">
      <c r="B55" s="445" t="s">
        <v>405</v>
      </c>
      <c r="C55" s="97">
        <v>2</v>
      </c>
      <c r="D55" s="97">
        <v>8</v>
      </c>
      <c r="E55" s="98">
        <v>250</v>
      </c>
      <c r="F55" s="231"/>
      <c r="G55" s="232">
        <f t="shared" si="5"/>
        <v>1.1805555555555556</v>
      </c>
      <c r="H55" s="233">
        <f t="shared" si="6"/>
        <v>850</v>
      </c>
      <c r="I55" s="203"/>
      <c r="J55" s="200" t="s">
        <v>60</v>
      </c>
      <c r="K55" s="204">
        <f t="shared" si="7"/>
        <v>0</v>
      </c>
      <c r="O55" s="205"/>
      <c r="R55" s="188"/>
      <c r="T55" s="188"/>
    </row>
    <row r="56" spans="2:20" s="180" customFormat="1" ht="25.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229">
        <f t="shared" si="5"/>
        <v>2.0138888888888888</v>
      </c>
      <c r="H56" s="230">
        <f t="shared" si="6"/>
        <v>1450</v>
      </c>
      <c r="I56" s="203"/>
      <c r="J56" s="206" t="s">
        <v>60</v>
      </c>
      <c r="K56" s="209">
        <f t="shared" si="7"/>
        <v>0</v>
      </c>
      <c r="O56" s="205"/>
      <c r="R56" s="188"/>
      <c r="T56" s="188"/>
    </row>
    <row r="57" spans="2:20" s="180" customFormat="1" ht="25.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232">
        <f t="shared" si="5"/>
        <v>3.6805555555555554</v>
      </c>
      <c r="H57" s="233">
        <f t="shared" si="6"/>
        <v>2650</v>
      </c>
      <c r="I57" s="203"/>
      <c r="J57" s="200" t="s">
        <v>60</v>
      </c>
      <c r="K57" s="204">
        <f t="shared" si="7"/>
        <v>0</v>
      </c>
      <c r="O57" s="205"/>
      <c r="R57" s="188"/>
      <c r="T57" s="188"/>
    </row>
    <row r="58" spans="2:20" s="180" customFormat="1" ht="25.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229">
        <f t="shared" ref="G58:G61" si="8">H58/720</f>
        <v>4.0277777777777777</v>
      </c>
      <c r="H58" s="230">
        <f t="shared" ref="H58:H61" si="9">C58*IAAS_vcpu_SEK+D58*IAAS_ram_SEK+E58*IAAS_nvme_SEK</f>
        <v>2900</v>
      </c>
      <c r="I58" s="203"/>
      <c r="J58" s="206" t="s">
        <v>60</v>
      </c>
      <c r="K58" s="209">
        <f t="shared" si="7"/>
        <v>0</v>
      </c>
      <c r="O58" s="205"/>
      <c r="R58" s="188"/>
      <c r="T58" s="188"/>
    </row>
    <row r="59" spans="2:20" s="180" customFormat="1" ht="25.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232">
        <f t="shared" si="8"/>
        <v>4.7222222222222223</v>
      </c>
      <c r="H59" s="233">
        <f t="shared" si="9"/>
        <v>3400</v>
      </c>
      <c r="I59" s="203"/>
      <c r="J59" s="200" t="s">
        <v>60</v>
      </c>
      <c r="K59" s="204">
        <f t="shared" si="7"/>
        <v>0</v>
      </c>
      <c r="O59" s="205"/>
      <c r="R59" s="188"/>
      <c r="T59" s="188"/>
    </row>
    <row r="60" spans="2:20" s="180" customFormat="1" ht="25.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229">
        <f t="shared" si="8"/>
        <v>7.0138888888888893</v>
      </c>
      <c r="H60" s="230">
        <f t="shared" si="9"/>
        <v>5050</v>
      </c>
      <c r="I60" s="203"/>
      <c r="J60" s="206" t="s">
        <v>60</v>
      </c>
      <c r="K60" s="209">
        <f t="shared" si="7"/>
        <v>0</v>
      </c>
      <c r="O60" s="205"/>
      <c r="R60" s="188"/>
      <c r="T60" s="188"/>
    </row>
    <row r="61" spans="2:20" s="180" customFormat="1" ht="25.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232">
        <f t="shared" si="8"/>
        <v>7.3611111111111107</v>
      </c>
      <c r="H61" s="233">
        <f t="shared" si="9"/>
        <v>5300</v>
      </c>
      <c r="I61" s="203"/>
      <c r="J61" s="200" t="s">
        <v>60</v>
      </c>
      <c r="K61" s="204">
        <f t="shared" si="7"/>
        <v>0</v>
      </c>
      <c r="O61" s="205"/>
      <c r="R61" s="188"/>
      <c r="T61" s="188"/>
    </row>
    <row r="62" spans="2:20" s="180" customFormat="1" ht="25.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229">
        <f t="shared" si="5"/>
        <v>8.0555555555555554</v>
      </c>
      <c r="H62" s="230">
        <f t="shared" si="6"/>
        <v>5800</v>
      </c>
      <c r="I62" s="203"/>
      <c r="J62" s="206" t="s">
        <v>60</v>
      </c>
      <c r="K62" s="209">
        <f t="shared" si="7"/>
        <v>0</v>
      </c>
      <c r="O62" s="205"/>
      <c r="R62" s="188"/>
      <c r="T62" s="188"/>
    </row>
    <row r="63" spans="2:20" s="180" customFormat="1" ht="25.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232">
        <f t="shared" si="5"/>
        <v>13.680555555555555</v>
      </c>
      <c r="H63" s="233">
        <f t="shared" si="6"/>
        <v>9850</v>
      </c>
      <c r="I63" s="203"/>
      <c r="J63" s="200" t="s">
        <v>60</v>
      </c>
      <c r="K63" s="204">
        <f t="shared" si="7"/>
        <v>0</v>
      </c>
      <c r="O63" s="205"/>
      <c r="R63" s="188"/>
      <c r="T63" s="188"/>
    </row>
    <row r="64" spans="2:20" s="180" customFormat="1" ht="25.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229">
        <f t="shared" si="5"/>
        <v>14.027777777777779</v>
      </c>
      <c r="H64" s="230">
        <f t="shared" si="6"/>
        <v>10100</v>
      </c>
      <c r="I64" s="203"/>
      <c r="J64" s="206" t="s">
        <v>60</v>
      </c>
      <c r="K64" s="209">
        <f t="shared" si="7"/>
        <v>0</v>
      </c>
      <c r="O64" s="205"/>
      <c r="R64" s="188"/>
      <c r="T64" s="188"/>
    </row>
    <row r="65" spans="2:23" s="180" customFormat="1" ht="25.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232">
        <f t="shared" si="5"/>
        <v>14.722222222222221</v>
      </c>
      <c r="H65" s="233">
        <f t="shared" si="6"/>
        <v>10600</v>
      </c>
      <c r="I65" s="203"/>
      <c r="J65" s="200" t="s">
        <v>60</v>
      </c>
      <c r="K65" s="204">
        <f t="shared" si="7"/>
        <v>0</v>
      </c>
      <c r="O65" s="205"/>
      <c r="R65" s="188"/>
      <c r="T65" s="188"/>
    </row>
    <row r="66" spans="2:23" s="180" customFormat="1" ht="25.5" customHeight="1">
      <c r="B66" s="446" t="s">
        <v>396</v>
      </c>
      <c r="C66" s="95">
        <v>64</v>
      </c>
      <c r="D66" s="95">
        <v>256</v>
      </c>
      <c r="E66" s="113">
        <v>1000</v>
      </c>
      <c r="F66" s="228"/>
      <c r="G66" s="229">
        <f t="shared" ref="G66" si="10">H66/720</f>
        <v>28.055555555555557</v>
      </c>
      <c r="H66" s="230">
        <f t="shared" ref="H66" si="11">C66*IAAS_vcpu_SEK+D66*IAAS_ram_SEK+E66*IAAS_nvme_SEK</f>
        <v>20200</v>
      </c>
      <c r="I66" s="203"/>
      <c r="J66" s="206" t="s">
        <v>60</v>
      </c>
      <c r="K66" s="209">
        <f t="shared" si="7"/>
        <v>0</v>
      </c>
      <c r="O66" s="205"/>
      <c r="R66" s="188"/>
      <c r="T66" s="188"/>
    </row>
    <row r="67" spans="2:23" s="180" customFormat="1" ht="25" customHeight="1">
      <c r="B67" s="447" t="s">
        <v>85</v>
      </c>
      <c r="C67" s="155" cm="1">
        <f t="array" ref="C67">SUM(C43:C66*I43:I66)</f>
        <v>0</v>
      </c>
      <c r="D67" s="155" cm="1">
        <f t="array" ref="D67">SUM(D43:D66*I43:I66)</f>
        <v>0</v>
      </c>
      <c r="E67" s="562" cm="1">
        <f t="array" ref="E67">SUM(E43:E66*I43:I66)</f>
        <v>0</v>
      </c>
      <c r="F67" s="155"/>
      <c r="G67" s="155"/>
      <c r="H67" s="155"/>
      <c r="I67" s="155" t="str">
        <f>SUM(I43:I66)&amp;" st"</f>
        <v>0 st</v>
      </c>
      <c r="J67" s="156"/>
      <c r="K67" s="545">
        <f>SUM(K43:K65)</f>
        <v>0</v>
      </c>
      <c r="O67" s="205"/>
      <c r="R67" s="188"/>
      <c r="T67" s="188"/>
    </row>
    <row r="68" spans="2:23" ht="25.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N68" s="180"/>
      <c r="O68" s="160"/>
      <c r="R68" s="188"/>
      <c r="S68" s="188"/>
      <c r="T68" s="214"/>
    </row>
    <row r="69" spans="2:23" ht="25.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237"/>
      <c r="M69" s="237"/>
      <c r="O69" s="160"/>
      <c r="P69" s="180"/>
      <c r="T69" s="188"/>
      <c r="U69" s="188"/>
      <c r="V69" s="214"/>
    </row>
    <row r="70" spans="2:23" ht="25.5" hidden="1" customHeight="1">
      <c r="B70" s="450" t="s">
        <v>273</v>
      </c>
      <c r="C70" s="396"/>
      <c r="D70" s="396"/>
      <c r="E70" s="396"/>
      <c r="F70" s="396"/>
      <c r="G70" s="396"/>
      <c r="H70" s="238"/>
      <c r="I70" s="190"/>
      <c r="J70" s="190"/>
      <c r="L70" s="239"/>
      <c r="M70" s="239"/>
      <c r="O70" s="160"/>
      <c r="T70" s="188"/>
      <c r="U70" s="188"/>
      <c r="V70" s="214"/>
    </row>
    <row r="71" spans="2:23" s="242" customFormat="1" ht="52" hidden="1">
      <c r="B71" s="444" t="s">
        <v>208</v>
      </c>
      <c r="C71" s="11" t="s">
        <v>218</v>
      </c>
      <c r="D71" s="11" t="s">
        <v>11</v>
      </c>
      <c r="E71" s="99" t="s">
        <v>32</v>
      </c>
      <c r="F71" s="192" t="s">
        <v>53</v>
      </c>
      <c r="G71" s="193" t="s">
        <v>268</v>
      </c>
      <c r="H71" s="193" t="s">
        <v>269</v>
      </c>
      <c r="I71" s="194" t="s">
        <v>270</v>
      </c>
      <c r="J71" s="194" t="s">
        <v>271</v>
      </c>
      <c r="K71" s="195"/>
      <c r="L71" s="193" t="s">
        <v>215</v>
      </c>
      <c r="M71" s="193" t="s">
        <v>272</v>
      </c>
      <c r="N71" s="240"/>
      <c r="O71" s="241"/>
      <c r="P71" s="240"/>
      <c r="Q71" s="240"/>
      <c r="U71" s="243"/>
      <c r="V71" s="243"/>
      <c r="W71" s="244"/>
    </row>
    <row r="72" spans="2:23" s="180" customFormat="1" ht="25.5" hidden="1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31">
        <f t="shared" ref="G72:G75" si="12">H72/720</f>
        <v>9.6527777777777786</v>
      </c>
      <c r="H72" s="429">
        <f>C72*IAAS_vcpu_SEK+D72*IAAS_ram_SEK+E72*IAAS_nvme_SEK+F72*IAAS_gpu_SEK</f>
        <v>6950</v>
      </c>
      <c r="I72" s="203"/>
      <c r="J72" s="203"/>
      <c r="K72" s="200" t="str">
        <f>J63</f>
        <v>Instanser</v>
      </c>
      <c r="L72" s="204">
        <f>ROUNDUP(I72*H72,2)</f>
        <v>0</v>
      </c>
      <c r="M72" s="204">
        <f>J72*C72*SW_win.ser.201X_SEK</f>
        <v>0</v>
      </c>
      <c r="O72" s="205"/>
      <c r="T72" s="188"/>
      <c r="V72" s="188"/>
    </row>
    <row r="73" spans="2:23" s="180" customFormat="1" ht="25.5" hidden="1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30">
        <f t="shared" si="12"/>
        <v>19.305555555555557</v>
      </c>
      <c r="H73" s="428">
        <f>C73*IAAS_vcpu_SEK+D73*IAAS_ram_SEK+E73*IAAS_nvme_SEK+F73*IAAS_gpu_SEK</f>
        <v>13900</v>
      </c>
      <c r="I73" s="203"/>
      <c r="J73" s="203"/>
      <c r="K73" s="206" t="s">
        <v>60</v>
      </c>
      <c r="L73" s="209">
        <f>ROUNDUP(I73*H73,2)</f>
        <v>0</v>
      </c>
      <c r="M73" s="209">
        <f>J73*C73*SW_win.ser.201X_SEK</f>
        <v>0</v>
      </c>
      <c r="O73" s="205"/>
      <c r="T73" s="188"/>
      <c r="V73" s="188"/>
    </row>
    <row r="74" spans="2:23" s="180" customFormat="1" ht="25.5" hidden="1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31">
        <f t="shared" si="12"/>
        <v>38.611111111111114</v>
      </c>
      <c r="H74" s="429">
        <f>C74*IAAS_vcpu_SEK+D74*IAAS_ram_SEK+E74*IAAS_nvme_SEK+F74*IAAS_gpu_SEK</f>
        <v>27800</v>
      </c>
      <c r="I74" s="203"/>
      <c r="J74" s="203"/>
      <c r="K74" s="200" t="str">
        <f>J65</f>
        <v>Instanser</v>
      </c>
      <c r="L74" s="204">
        <f>ROUNDUP(I74*H74,2)</f>
        <v>0</v>
      </c>
      <c r="M74" s="204">
        <f>J74*C74*SW_win.ser.201X_SEK</f>
        <v>0</v>
      </c>
      <c r="O74" s="205"/>
      <c r="T74" s="188"/>
      <c r="V74" s="188"/>
    </row>
    <row r="75" spans="2:23" s="180" customFormat="1" ht="25.5" hidden="1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30">
        <f t="shared" si="12"/>
        <v>60.555555555555557</v>
      </c>
      <c r="H75" s="428">
        <f>C75*IAAS_vcpu_SEK+D75*IAAS_ram_SEK+E75*IAAS_nvme_SEK+F75*IAAS_gpu_SEK</f>
        <v>43600</v>
      </c>
      <c r="I75" s="203"/>
      <c r="J75" s="203"/>
      <c r="K75" s="206" t="s">
        <v>60</v>
      </c>
      <c r="L75" s="209">
        <f>ROUNDUP(I75*H75,2)</f>
        <v>0</v>
      </c>
      <c r="M75" s="209">
        <f>J75*C75*SW_win.ser.201X_SEK</f>
        <v>0</v>
      </c>
      <c r="O75" s="205"/>
      <c r="T75" s="188"/>
      <c r="V75" s="188"/>
    </row>
    <row r="76" spans="2:23" s="249" customFormat="1" ht="25.5" hidden="1" customHeight="1">
      <c r="B76" s="447" t="s">
        <v>85</v>
      </c>
      <c r="C76" s="87"/>
      <c r="D76" s="87"/>
      <c r="E76" s="87"/>
      <c r="F76" s="211"/>
      <c r="G76" s="212"/>
      <c r="H76" s="213"/>
      <c r="I76" s="155" t="str">
        <f>SUM(I72:I75)&amp;" st"</f>
        <v>0 st</v>
      </c>
      <c r="J76" s="155" t="str">
        <f>SUM(J72:J75)&amp;" st"</f>
        <v>0 st</v>
      </c>
      <c r="K76" s="156"/>
      <c r="L76" s="545">
        <f>SUM(L72:L75)</f>
        <v>0</v>
      </c>
      <c r="M76" s="88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.5" hidden="1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252"/>
      <c r="O77" s="205"/>
      <c r="T77" s="188"/>
      <c r="V77" s="188"/>
    </row>
    <row r="78" spans="2:23" s="180" customFormat="1" ht="25.5" hidden="1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252"/>
      <c r="O78" s="205"/>
      <c r="T78" s="188"/>
      <c r="V78" s="188"/>
    </row>
    <row r="79" spans="2:23" s="223" customFormat="1" ht="31" hidden="1">
      <c r="B79" s="416" t="s">
        <v>274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252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52" hidden="1">
      <c r="B80" s="444" t="s">
        <v>208</v>
      </c>
      <c r="C80" s="11" t="s">
        <v>218</v>
      </c>
      <c r="D80" s="11" t="s">
        <v>11</v>
      </c>
      <c r="E80" s="12" t="s">
        <v>32</v>
      </c>
      <c r="F80" s="254"/>
      <c r="G80" s="193" t="s">
        <v>268</v>
      </c>
      <c r="H80" s="193" t="s">
        <v>269</v>
      </c>
      <c r="I80" s="194" t="s">
        <v>270</v>
      </c>
      <c r="J80" s="194" t="s">
        <v>271</v>
      </c>
      <c r="K80" s="195"/>
      <c r="L80" s="193" t="s">
        <v>215</v>
      </c>
      <c r="M80" s="193" t="s">
        <v>272</v>
      </c>
      <c r="N80" s="240"/>
      <c r="O80" s="241"/>
      <c r="P80" s="240"/>
      <c r="Q80" s="240"/>
      <c r="U80" s="243"/>
      <c r="V80" s="243"/>
      <c r="W80" s="244"/>
    </row>
    <row r="81" spans="2:23" s="180" customFormat="1" ht="25.5" hidden="1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232">
        <f t="shared" ref="G81:G83" si="13">H81/720</f>
        <v>9.5</v>
      </c>
      <c r="H81" s="233">
        <f>INSTANCE_p1.2xlarge.16d_SEK</f>
        <v>6840</v>
      </c>
      <c r="I81" s="203"/>
      <c r="J81" s="203"/>
      <c r="K81" s="200" t="s">
        <v>60</v>
      </c>
      <c r="L81" s="204">
        <f>ROUNDUP(I81*H81,2)</f>
        <v>0</v>
      </c>
      <c r="M81" s="204">
        <f>J81*C81*SW_win.ser.201X_SEK</f>
        <v>0</v>
      </c>
      <c r="N81" s="189"/>
      <c r="O81" s="205"/>
    </row>
    <row r="82" spans="2:23" s="180" customFormat="1" ht="25.5" hidden="1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229">
        <f t="shared" si="13"/>
        <v>19</v>
      </c>
      <c r="H82" s="230">
        <f>INSTANCE_p1.4xlarge.16d_SEK</f>
        <v>13680</v>
      </c>
      <c r="I82" s="203"/>
      <c r="J82" s="203"/>
      <c r="K82" s="206" t="str">
        <f t="shared" ref="K82" si="14">K81</f>
        <v>Instanser</v>
      </c>
      <c r="L82" s="209">
        <f>ROUNDUP(I82*H82,2)</f>
        <v>0</v>
      </c>
      <c r="M82" s="209">
        <f>J82*C82*SW_win.ser.201X_SEK</f>
        <v>0</v>
      </c>
      <c r="N82" s="189"/>
      <c r="O82" s="205"/>
      <c r="W82" s="188"/>
    </row>
    <row r="83" spans="2:23" s="246" customFormat="1" ht="25.5" hidden="1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259">
        <f t="shared" si="13"/>
        <v>38</v>
      </c>
      <c r="H83" s="260">
        <f>INSTANCE_p1.8xlarge.32d_SEK</f>
        <v>27360</v>
      </c>
      <c r="I83" s="203"/>
      <c r="J83" s="203"/>
      <c r="K83" s="200" t="s">
        <v>60</v>
      </c>
      <c r="L83" s="204">
        <f>ROUNDUP(I83*H83,2)</f>
        <v>0</v>
      </c>
      <c r="M83" s="204">
        <f>J83*C83*SW_win.ser.201X_SEK</f>
        <v>0</v>
      </c>
      <c r="N83" s="261"/>
      <c r="O83" s="262"/>
    </row>
    <row r="84" spans="2:23" ht="25.5" hidden="1" customHeight="1">
      <c r="B84" s="448" t="s">
        <v>85</v>
      </c>
      <c r="C84" s="19"/>
      <c r="D84" s="19"/>
      <c r="E84" s="19"/>
      <c r="F84" s="246"/>
      <c r="G84" s="246"/>
      <c r="H84" s="246"/>
      <c r="I84" s="155" t="str">
        <f>SUM(I81:I83)&amp;" st"</f>
        <v>0 st</v>
      </c>
      <c r="J84" s="155" t="str">
        <f>SUM(J81:J83)&amp;" st"</f>
        <v>0 st</v>
      </c>
      <c r="K84" s="156"/>
      <c r="L84" s="545">
        <f>SUM(L81:L83)</f>
        <v>0</v>
      </c>
      <c r="M84" s="88">
        <f>SUM(M81:M83)</f>
        <v>0</v>
      </c>
      <c r="O84" s="160"/>
    </row>
    <row r="85" spans="2:23" ht="25.5" hidden="1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49"/>
      <c r="O85" s="160"/>
    </row>
    <row r="86" spans="2:23" s="180" customFormat="1" ht="25.5" hidden="1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252"/>
      <c r="O86" s="205"/>
      <c r="T86" s="188"/>
      <c r="V86" s="188"/>
    </row>
    <row r="87" spans="2:23" ht="25.5" customHeight="1">
      <c r="B87" s="416" t="s">
        <v>275</v>
      </c>
      <c r="C87" s="22"/>
      <c r="D87" s="22"/>
      <c r="E87" s="22"/>
      <c r="F87" s="253"/>
      <c r="G87" s="253"/>
      <c r="H87" s="189"/>
      <c r="I87" s="189"/>
      <c r="J87" s="189"/>
      <c r="K87" s="251"/>
      <c r="L87" s="189"/>
      <c r="M87" s="252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35.25" customHeight="1">
      <c r="B88" s="444" t="s">
        <v>208</v>
      </c>
      <c r="C88" s="24" t="s">
        <v>276</v>
      </c>
      <c r="D88" s="24"/>
      <c r="E88" s="132" t="s">
        <v>268</v>
      </c>
      <c r="F88" s="1013" t="s">
        <v>277</v>
      </c>
      <c r="G88" s="1013"/>
      <c r="H88" s="265"/>
      <c r="I88" s="266" t="s">
        <v>278</v>
      </c>
      <c r="J88" s="265"/>
      <c r="K88" s="537" t="s">
        <v>92</v>
      </c>
      <c r="L88" s="199"/>
      <c r="O88" s="267"/>
      <c r="P88" s="199"/>
      <c r="T88" s="269"/>
      <c r="U88" s="269"/>
      <c r="V88" s="270"/>
    </row>
    <row r="89" spans="2:23" s="180" customFormat="1" ht="25.5" customHeight="1">
      <c r="B89" s="134" t="s">
        <v>67</v>
      </c>
      <c r="C89" s="39" t="s">
        <v>68</v>
      </c>
      <c r="D89" s="78"/>
      <c r="E89" s="80">
        <f>F89/720</f>
        <v>1.6666666666666666E-3</v>
      </c>
      <c r="F89" s="1074">
        <f>VOLUME_large_SEK</f>
        <v>1.2</v>
      </c>
      <c r="G89" s="1074"/>
      <c r="H89" s="615"/>
      <c r="I89" s="271"/>
      <c r="J89" s="472" t="s">
        <v>69</v>
      </c>
      <c r="K89" s="274">
        <f>ROUNDUP(I89*F89,2)</f>
        <v>0</v>
      </c>
      <c r="L89" s="189"/>
      <c r="O89" s="205"/>
    </row>
    <row r="90" spans="2:23" s="180" customFormat="1" ht="25.5" customHeight="1">
      <c r="B90" s="137" t="s">
        <v>70</v>
      </c>
      <c r="C90" s="41" t="s">
        <v>71</v>
      </c>
      <c r="D90" s="79"/>
      <c r="E90" s="81">
        <f>F90/720</f>
        <v>5.0000000000000001E-3</v>
      </c>
      <c r="F90" s="1072">
        <f>VOLUME_fast_SEK</f>
        <v>3.6</v>
      </c>
      <c r="G90" s="1072"/>
      <c r="H90" s="616"/>
      <c r="I90" s="275"/>
      <c r="J90" s="473" t="s">
        <v>69</v>
      </c>
      <c r="K90" s="277">
        <f>ROUNDUP(I90*F90,2)</f>
        <v>0</v>
      </c>
      <c r="L90" s="189"/>
      <c r="O90" s="205"/>
      <c r="V90" s="188"/>
    </row>
    <row r="91" spans="2:23" ht="25.5" customHeight="1">
      <c r="B91" s="447" t="s">
        <v>222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88">
        <f>SUM(K89:K90)</f>
        <v>0</v>
      </c>
      <c r="O91" s="160"/>
    </row>
    <row r="92" spans="2:23" ht="25.5" customHeight="1">
      <c r="B92" s="75"/>
      <c r="C92" s="76"/>
      <c r="D92" s="76"/>
      <c r="E92" s="76"/>
      <c r="F92" s="263"/>
      <c r="G92" s="263"/>
      <c r="H92" s="281"/>
      <c r="I92" s="281"/>
      <c r="J92" s="282"/>
      <c r="K92" s="283"/>
      <c r="L92" s="284"/>
      <c r="M92" s="161"/>
      <c r="O92" s="160"/>
    </row>
    <row r="93" spans="2:23" ht="25.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284"/>
      <c r="O93" s="160"/>
    </row>
    <row r="94" spans="2:23" s="169" customFormat="1" ht="25.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284"/>
      <c r="O94" s="168"/>
    </row>
    <row r="95" spans="2:23" s="169" customFormat="1" ht="25.5" customHeight="1">
      <c r="B95" s="994" t="s">
        <v>72</v>
      </c>
      <c r="C95" s="994"/>
      <c r="D95" s="994"/>
      <c r="E95" s="994"/>
      <c r="F95" s="994"/>
      <c r="G95" s="994"/>
      <c r="H95" s="177"/>
      <c r="J95" s="178"/>
      <c r="K95" s="178"/>
      <c r="M95" s="179"/>
      <c r="O95" s="168"/>
    </row>
    <row r="96" spans="2:23" s="169" customFormat="1" ht="25.5" customHeight="1">
      <c r="B96" s="994"/>
      <c r="C96" s="994"/>
      <c r="D96" s="994"/>
      <c r="E96" s="994"/>
      <c r="F96" s="994"/>
      <c r="G96" s="994"/>
      <c r="H96" s="177"/>
      <c r="J96" s="178"/>
      <c r="K96" s="178"/>
      <c r="M96" s="179"/>
      <c r="O96" s="168"/>
    </row>
    <row r="97" spans="2:23" s="169" customFormat="1" ht="25.5" customHeight="1">
      <c r="B97" s="994"/>
      <c r="C97" s="994"/>
      <c r="D97" s="994"/>
      <c r="E97" s="994"/>
      <c r="F97" s="994"/>
      <c r="G97" s="994"/>
      <c r="H97" s="177"/>
      <c r="J97" s="178"/>
      <c r="K97" s="178"/>
      <c r="M97" s="179"/>
      <c r="O97" s="168"/>
    </row>
    <row r="98" spans="2:23" s="169" customFormat="1" ht="25.5" customHeight="1">
      <c r="B98" s="1070" t="s">
        <v>279</v>
      </c>
      <c r="C98" s="1070"/>
      <c r="D98" s="1070"/>
      <c r="E98" s="1070"/>
      <c r="F98" s="1070"/>
      <c r="H98" s="177"/>
      <c r="J98" s="178"/>
      <c r="K98" s="178"/>
      <c r="M98" s="179"/>
      <c r="N98" s="182"/>
      <c r="O98" s="187"/>
    </row>
    <row r="99" spans="2:23" s="291" customFormat="1" ht="25.5" customHeight="1">
      <c r="B99" s="1021" t="s">
        <v>280</v>
      </c>
      <c r="C99" s="1021"/>
      <c r="D99" s="1021"/>
      <c r="E99" s="1021"/>
      <c r="F99" s="1021"/>
      <c r="G99" s="285"/>
      <c r="H99" s="286"/>
      <c r="I99" s="285"/>
      <c r="J99" s="287"/>
      <c r="K99" s="288"/>
      <c r="L99" s="285"/>
      <c r="M99" s="289"/>
      <c r="N99" s="285"/>
      <c r="O99" s="290"/>
    </row>
    <row r="100" spans="2:23" s="169" customFormat="1" ht="25.5" customHeight="1">
      <c r="B100" s="529" t="s">
        <v>281</v>
      </c>
      <c r="C100" s="74"/>
      <c r="D100" s="74"/>
      <c r="E100" s="74"/>
      <c r="F100" s="530"/>
      <c r="G100" s="182"/>
      <c r="H100" s="183"/>
      <c r="I100" s="182"/>
      <c r="J100" s="184"/>
      <c r="K100" s="185"/>
      <c r="L100" s="185"/>
      <c r="M100" s="186"/>
      <c r="N100" s="186"/>
      <c r="O100" s="205"/>
      <c r="Q100" s="180"/>
      <c r="R100" s="180"/>
    </row>
    <row r="101" spans="2:23" s="169" customFormat="1" ht="25.5" customHeight="1">
      <c r="B101" s="4"/>
      <c r="C101" s="4"/>
      <c r="D101" s="4"/>
      <c r="E101" s="4"/>
      <c r="F101" s="530"/>
      <c r="G101" s="182"/>
      <c r="H101" s="183"/>
      <c r="I101" s="182"/>
      <c r="J101" s="184"/>
      <c r="K101" s="185"/>
      <c r="L101" s="185"/>
      <c r="M101" s="186"/>
      <c r="N101" s="186"/>
      <c r="O101" s="205"/>
      <c r="Q101" s="180"/>
      <c r="R101" s="180"/>
    </row>
    <row r="102" spans="2:23" s="169" customFormat="1" ht="25.5" customHeight="1">
      <c r="B102" s="444" t="s">
        <v>208</v>
      </c>
      <c r="C102" s="10" t="s">
        <v>282</v>
      </c>
      <c r="D102" s="1013" t="s">
        <v>283</v>
      </c>
      <c r="E102" s="1013"/>
      <c r="F102" s="1013"/>
      <c r="G102" s="1013"/>
      <c r="H102" s="1013"/>
      <c r="I102" s="1013"/>
      <c r="J102" s="1013"/>
      <c r="K102" s="1013"/>
      <c r="L102" s="537"/>
      <c r="M102" s="265"/>
      <c r="N102" s="186"/>
      <c r="O102" s="205"/>
      <c r="Q102" s="180"/>
      <c r="R102" s="180"/>
    </row>
    <row r="103" spans="2:23" s="169" customFormat="1" ht="25.5" customHeight="1">
      <c r="B103" s="445" t="s">
        <v>77</v>
      </c>
      <c r="C103" s="44" t="s">
        <v>78</v>
      </c>
      <c r="D103" s="1073">
        <f>S3_storage.50_SEK</f>
        <v>350</v>
      </c>
      <c r="E103" s="1073"/>
      <c r="F103" s="1073"/>
      <c r="G103" s="1073"/>
      <c r="H103" s="1073"/>
      <c r="I103" s="1073"/>
      <c r="J103" s="1073"/>
      <c r="K103" s="1073"/>
      <c r="L103" s="540"/>
      <c r="M103" s="292"/>
      <c r="N103" s="186"/>
      <c r="O103" s="205"/>
      <c r="Q103" s="180"/>
      <c r="R103" s="180"/>
    </row>
    <row r="104" spans="2:23" s="169" customFormat="1" ht="25.5" customHeight="1">
      <c r="B104" s="446" t="s">
        <v>77</v>
      </c>
      <c r="C104" s="46" t="s">
        <v>79</v>
      </c>
      <c r="D104" s="1068">
        <f>S3_storage.100_SEK</f>
        <v>270</v>
      </c>
      <c r="E104" s="1068"/>
      <c r="F104" s="1068"/>
      <c r="G104" s="1068"/>
      <c r="H104" s="1068"/>
      <c r="I104" s="1068"/>
      <c r="J104" s="1068"/>
      <c r="K104" s="1068"/>
      <c r="L104" s="534"/>
      <c r="M104" s="293"/>
      <c r="N104" s="186"/>
      <c r="O104" s="205"/>
      <c r="Q104" s="180"/>
      <c r="R104" s="180"/>
    </row>
    <row r="105" spans="2:23" s="169" customFormat="1" ht="25.5" customHeight="1">
      <c r="B105" s="445" t="s">
        <v>77</v>
      </c>
      <c r="C105" s="44" t="s">
        <v>80</v>
      </c>
      <c r="D105" s="1071">
        <f>S3_storage.500_SEK</f>
        <v>200</v>
      </c>
      <c r="E105" s="1071"/>
      <c r="F105" s="1071"/>
      <c r="G105" s="1071"/>
      <c r="H105" s="1071"/>
      <c r="I105" s="1071"/>
      <c r="J105" s="1071"/>
      <c r="K105" s="1071"/>
      <c r="L105" s="539"/>
      <c r="M105" s="294"/>
      <c r="N105" s="186"/>
      <c r="O105" s="205"/>
      <c r="Q105" s="180"/>
      <c r="R105" s="180"/>
    </row>
    <row r="106" spans="2:23" s="169" customFormat="1" ht="25.5" customHeight="1">
      <c r="B106" s="446" t="s">
        <v>77</v>
      </c>
      <c r="C106" s="46" t="s">
        <v>81</v>
      </c>
      <c r="D106" s="1068">
        <f>S3_storage.1000_SEK</f>
        <v>185</v>
      </c>
      <c r="E106" s="1068"/>
      <c r="F106" s="1068"/>
      <c r="G106" s="1068"/>
      <c r="H106" s="1068"/>
      <c r="I106" s="1068"/>
      <c r="J106" s="1068"/>
      <c r="K106" s="1068"/>
      <c r="L106" s="534"/>
      <c r="M106" s="293"/>
      <c r="N106" s="186"/>
      <c r="O106" s="205"/>
      <c r="Q106" s="180"/>
      <c r="R106" s="180"/>
    </row>
    <row r="107" spans="2:23" s="169" customFormat="1" ht="25.5" customHeight="1">
      <c r="B107" s="445" t="s">
        <v>77</v>
      </c>
      <c r="C107" s="44" t="s">
        <v>82</v>
      </c>
      <c r="D107" s="1069" t="str">
        <f>S3_storage.quote_SEK</f>
        <v>Be om offert</v>
      </c>
      <c r="E107" s="1069"/>
      <c r="F107" s="1069"/>
      <c r="G107" s="1069"/>
      <c r="H107" s="1069"/>
      <c r="I107" s="1069"/>
      <c r="J107" s="1069"/>
      <c r="K107" s="1069"/>
      <c r="L107" s="536"/>
      <c r="M107" s="295"/>
      <c r="N107" s="186"/>
      <c r="O107" s="205"/>
      <c r="Q107" s="180"/>
      <c r="R107" s="180"/>
    </row>
    <row r="108" spans="2:23" s="169" customFormat="1" ht="25.5" customHeight="1">
      <c r="B108" s="464"/>
      <c r="C108" s="102"/>
      <c r="D108" s="102"/>
      <c r="E108" s="102"/>
      <c r="F108" s="186"/>
      <c r="G108" s="186"/>
      <c r="H108" s="186"/>
      <c r="I108" s="186"/>
      <c r="J108" s="186"/>
      <c r="K108" s="186"/>
      <c r="L108" s="186"/>
      <c r="M108" s="186"/>
      <c r="N108" s="186"/>
      <c r="O108" s="205"/>
      <c r="Q108" s="180"/>
      <c r="R108" s="180"/>
    </row>
    <row r="109" spans="2:23" s="242" customFormat="1" ht="25.5" customHeight="1">
      <c r="B109" s="465"/>
      <c r="C109" s="133"/>
      <c r="D109" s="133"/>
      <c r="E109" s="133"/>
      <c r="F109" s="530"/>
      <c r="G109" s="182"/>
      <c r="H109" s="183"/>
      <c r="I109" s="182"/>
      <c r="J109" s="184"/>
      <c r="K109" s="185"/>
      <c r="L109" s="185"/>
      <c r="M109" s="186"/>
      <c r="N109" s="186"/>
      <c r="O109" s="296"/>
      <c r="Q109" s="268"/>
      <c r="R109" s="268"/>
      <c r="S109" s="268"/>
      <c r="T109" s="268"/>
      <c r="U109" s="268"/>
      <c r="V109" s="268"/>
      <c r="W109" s="268"/>
    </row>
    <row r="110" spans="2:23" ht="25.5" customHeight="1">
      <c r="B110" s="444" t="s">
        <v>208</v>
      </c>
      <c r="C110" s="24"/>
      <c r="D110" s="24"/>
      <c r="E110" s="131"/>
      <c r="F110" s="24" t="s">
        <v>283</v>
      </c>
      <c r="G110" s="265"/>
      <c r="H110" s="266" t="s">
        <v>282</v>
      </c>
      <c r="I110" s="265"/>
      <c r="J110" s="265"/>
      <c r="K110" s="265"/>
      <c r="L110" s="265"/>
      <c r="M110" s="537" t="s">
        <v>92</v>
      </c>
      <c r="N110" s="297"/>
      <c r="O110" s="205"/>
      <c r="Q110" s="180"/>
      <c r="R110" s="180"/>
    </row>
    <row r="111" spans="2:23" s="249" customFormat="1" ht="25.5" customHeight="1">
      <c r="B111" s="466" t="s">
        <v>77</v>
      </c>
      <c r="C111" s="82"/>
      <c r="D111" s="82"/>
      <c r="E111" s="25"/>
      <c r="F111" s="598" cm="1">
        <f t="array" ref="F111">_xlfn.IFS(H111&lt;51,D103,H111&lt;101,D104,H111&lt;501,D105,H111&lt;1001,D106,H111&gt;1000,D107)</f>
        <v>350</v>
      </c>
      <c r="G111" s="599"/>
      <c r="H111" s="298"/>
      <c r="I111" s="474" t="s">
        <v>84</v>
      </c>
      <c r="J111" s="300"/>
      <c r="K111" s="300"/>
      <c r="L111" s="300"/>
      <c r="M111" s="437" cm="1">
        <f t="array" ref="M111">_xlfn.IFS(H111&lt;1001,ROUNDUP(H111*F111,2),H111&gt;1000,D107)</f>
        <v>0</v>
      </c>
      <c r="N111" s="297"/>
      <c r="O111" s="262"/>
      <c r="Q111" s="246"/>
      <c r="R111" s="246"/>
    </row>
    <row r="112" spans="2:23" ht="25.5" customHeight="1">
      <c r="B112" s="18" t="s">
        <v>85</v>
      </c>
      <c r="C112" s="19"/>
      <c r="D112" s="19"/>
      <c r="E112" s="19"/>
      <c r="F112" s="216"/>
      <c r="G112" s="217"/>
      <c r="H112" s="217"/>
      <c r="I112" s="217"/>
      <c r="J112" s="217"/>
      <c r="K112" s="302"/>
      <c r="L112" s="302"/>
      <c r="M112" s="88">
        <f>SUM(M111)</f>
        <v>0</v>
      </c>
      <c r="N112" s="297"/>
      <c r="O112" s="205"/>
      <c r="Q112" s="180"/>
      <c r="R112" s="180"/>
    </row>
    <row r="113" spans="2:34" ht="25.5" customHeight="1">
      <c r="B113" s="26"/>
      <c r="C113" s="26"/>
      <c r="D113" s="26"/>
      <c r="E113" s="26"/>
      <c r="F113" s="304"/>
      <c r="G113" s="305"/>
      <c r="H113" s="281"/>
      <c r="I113" s="281"/>
      <c r="J113" s="281"/>
      <c r="K113" s="306"/>
      <c r="L113" s="306"/>
      <c r="M113" s="284"/>
      <c r="N113" s="297"/>
      <c r="O113" s="205"/>
      <c r="Q113" s="180"/>
      <c r="R113" s="180"/>
    </row>
    <row r="114" spans="2:34" ht="25.5" customHeight="1">
      <c r="B114" s="26"/>
      <c r="C114" s="26"/>
      <c r="D114" s="26"/>
      <c r="E114" s="26"/>
      <c r="F114" s="304"/>
      <c r="G114" s="305"/>
      <c r="H114" s="281"/>
      <c r="I114" s="281"/>
      <c r="J114" s="281"/>
      <c r="K114" s="306"/>
      <c r="L114" s="306"/>
      <c r="M114" s="284"/>
      <c r="N114" s="284"/>
      <c r="O114" s="205"/>
      <c r="Q114" s="180"/>
      <c r="R114" s="180"/>
      <c r="U114" s="169"/>
    </row>
    <row r="115" spans="2:34" s="169" customFormat="1" ht="25.5" customHeight="1">
      <c r="B115" s="26"/>
      <c r="C115" s="26"/>
      <c r="D115" s="26"/>
      <c r="E115" s="26"/>
      <c r="F115" s="304"/>
      <c r="G115" s="305"/>
      <c r="H115" s="281"/>
      <c r="I115" s="281"/>
      <c r="J115" s="281"/>
      <c r="K115" s="306"/>
      <c r="L115" s="306"/>
      <c r="M115" s="284"/>
      <c r="N115" s="284"/>
      <c r="O115" s="168"/>
    </row>
    <row r="116" spans="2:34" s="169" customFormat="1" ht="25.5" customHeight="1">
      <c r="B116" s="994" t="s">
        <v>86</v>
      </c>
      <c r="C116" s="994"/>
      <c r="D116" s="994"/>
      <c r="E116" s="994"/>
      <c r="F116" s="994"/>
      <c r="G116" s="994"/>
      <c r="H116" s="177"/>
      <c r="J116" s="178"/>
      <c r="K116" s="178"/>
      <c r="L116" s="178"/>
      <c r="M116" s="179"/>
      <c r="N116" s="179"/>
      <c r="O116" s="168"/>
    </row>
    <row r="117" spans="2:34" s="169" customFormat="1" ht="25.5" customHeight="1">
      <c r="B117" s="994"/>
      <c r="C117" s="994"/>
      <c r="D117" s="994"/>
      <c r="E117" s="994"/>
      <c r="F117" s="994"/>
      <c r="G117" s="994"/>
      <c r="H117" s="177"/>
      <c r="J117" s="178"/>
      <c r="K117" s="178"/>
      <c r="L117" s="178"/>
      <c r="M117" s="179"/>
      <c r="N117" s="179"/>
      <c r="O117" s="168"/>
    </row>
    <row r="118" spans="2:34" s="169" customFormat="1" ht="25.5" customHeight="1">
      <c r="B118" s="994"/>
      <c r="C118" s="994"/>
      <c r="D118" s="994"/>
      <c r="E118" s="994"/>
      <c r="F118" s="994"/>
      <c r="G118" s="994"/>
      <c r="H118" s="177"/>
      <c r="J118" s="178"/>
      <c r="K118" s="178"/>
      <c r="L118" s="178"/>
      <c r="M118" s="179"/>
      <c r="N118" s="179"/>
      <c r="O118" s="168"/>
    </row>
    <row r="119" spans="2:34" s="169" customFormat="1" ht="25.5" customHeight="1">
      <c r="B119" s="1070" t="s">
        <v>284</v>
      </c>
      <c r="C119" s="1070"/>
      <c r="D119" s="1070"/>
      <c r="E119" s="1070"/>
      <c r="F119" s="1070"/>
      <c r="H119" s="177"/>
      <c r="J119" s="178"/>
      <c r="K119" s="178"/>
      <c r="L119" s="178"/>
      <c r="M119" s="179"/>
      <c r="N119" s="179"/>
      <c r="O119" s="187"/>
    </row>
    <row r="120" spans="2:34" s="169" customFormat="1" ht="25.5" customHeight="1">
      <c r="B120" s="1021" t="s">
        <v>285</v>
      </c>
      <c r="C120" s="1021"/>
      <c r="D120" s="1021"/>
      <c r="E120" s="1021"/>
      <c r="F120" s="1021"/>
      <c r="G120" s="182"/>
      <c r="H120" s="183"/>
      <c r="I120" s="182"/>
      <c r="J120" s="184"/>
      <c r="K120" s="185"/>
      <c r="L120" s="185"/>
      <c r="M120" s="186"/>
      <c r="N120" s="186"/>
      <c r="O120" s="187"/>
    </row>
    <row r="121" spans="2:34" s="189" customFormat="1" ht="25.5" customHeight="1">
      <c r="B121" s="529" t="s">
        <v>281</v>
      </c>
      <c r="C121" s="74"/>
      <c r="D121" s="74"/>
      <c r="E121" s="74"/>
      <c r="F121" s="530"/>
      <c r="G121" s="182"/>
      <c r="H121" s="183"/>
      <c r="I121" s="182"/>
      <c r="J121" s="184"/>
      <c r="K121" s="185"/>
      <c r="L121" s="185"/>
      <c r="M121" s="186"/>
      <c r="N121" s="186"/>
      <c r="O121" s="205"/>
      <c r="Q121" s="180"/>
      <c r="R121" s="180"/>
      <c r="S121" s="180"/>
      <c r="T121" s="180"/>
      <c r="U121" s="180"/>
      <c r="V121" s="180"/>
      <c r="W121" s="180"/>
      <c r="Z121" s="161"/>
      <c r="AA121" s="161"/>
      <c r="AB121" s="161"/>
    </row>
    <row r="122" spans="2:34" s="242" customFormat="1" ht="25.5" customHeight="1">
      <c r="B122" s="27"/>
      <c r="C122" s="8"/>
      <c r="D122" s="8"/>
      <c r="E122" s="8"/>
      <c r="F122" s="189"/>
      <c r="G122" s="189"/>
      <c r="H122" s="189"/>
      <c r="I122" s="189"/>
      <c r="J122" s="189"/>
      <c r="K122" s="189"/>
      <c r="L122" s="189"/>
      <c r="M122" s="252"/>
      <c r="N122" s="252"/>
      <c r="O122" s="296"/>
      <c r="R122" s="268"/>
      <c r="S122" s="268"/>
      <c r="T122" s="268"/>
      <c r="U122" s="268"/>
      <c r="V122" s="268"/>
      <c r="W122" s="268"/>
    </row>
    <row r="123" spans="2:34" ht="25">
      <c r="B123" s="444" t="s">
        <v>208</v>
      </c>
      <c r="C123" s="1013" t="s">
        <v>286</v>
      </c>
      <c r="D123" s="1013"/>
      <c r="E123" s="131" t="s">
        <v>268</v>
      </c>
      <c r="F123" s="1013" t="s">
        <v>277</v>
      </c>
      <c r="G123" s="1013"/>
      <c r="H123" s="266" t="s">
        <v>90</v>
      </c>
      <c r="I123" s="265"/>
      <c r="J123" s="1027" t="s">
        <v>287</v>
      </c>
      <c r="K123" s="1027"/>
      <c r="L123" s="535"/>
      <c r="M123" s="537" t="s">
        <v>92</v>
      </c>
      <c r="N123" s="252"/>
      <c r="O123" s="160"/>
    </row>
    <row r="124" spans="2:34" ht="25.5" customHeight="1">
      <c r="B124" s="531" t="s">
        <v>93</v>
      </c>
      <c r="C124" s="475"/>
      <c r="D124" s="29" t="s">
        <v>94</v>
      </c>
      <c r="E124" s="29" t="s">
        <v>94</v>
      </c>
      <c r="F124" s="1062">
        <f>BAAS_on.demand_SEK</f>
        <v>2.4500000000000002</v>
      </c>
      <c r="G124" s="1063"/>
      <c r="H124" s="307"/>
      <c r="I124" s="472" t="s">
        <v>69</v>
      </c>
      <c r="J124" s="1031" t="s">
        <v>94</v>
      </c>
      <c r="K124" s="1031"/>
      <c r="L124" s="308"/>
      <c r="M124" s="274">
        <f>ROUNDUP(H124*F124,2)</f>
        <v>0</v>
      </c>
      <c r="N124" s="252"/>
      <c r="O124" s="160"/>
    </row>
    <row r="125" spans="2:34" ht="25.5" customHeight="1">
      <c r="B125" s="532" t="s">
        <v>95</v>
      </c>
      <c r="C125" s="477"/>
      <c r="D125" s="31">
        <v>5500</v>
      </c>
      <c r="E125" s="32" t="s">
        <v>94</v>
      </c>
      <c r="F125" s="1064">
        <f>BAAS_small_SEK</f>
        <v>1.75</v>
      </c>
      <c r="G125" s="1065"/>
      <c r="H125" s="309"/>
      <c r="I125" s="473" t="s">
        <v>69</v>
      </c>
      <c r="J125" s="1035">
        <v>0.75</v>
      </c>
      <c r="K125" s="1036"/>
      <c r="L125" s="276"/>
      <c r="M125" s="277">
        <f>IF(H125&gt;0,IF(SUM($D$125+($F$125*((H125*(1-$J$125))-1000)))&lt;=D125,$D$125,$D$125+($F$125*((H125*(1-$J$125))-1000))),0)</f>
        <v>0</v>
      </c>
      <c r="N125" s="252"/>
      <c r="O125" s="160"/>
    </row>
    <row r="126" spans="2:34" s="310" customFormat="1" ht="25.5" customHeight="1">
      <c r="B126" s="533" t="s">
        <v>96</v>
      </c>
      <c r="C126" s="476"/>
      <c r="D126" s="33">
        <v>9500</v>
      </c>
      <c r="E126" s="35" t="s">
        <v>94</v>
      </c>
      <c r="F126" s="1066">
        <f>BAAS_large_SEK</f>
        <v>0.92</v>
      </c>
      <c r="G126" s="1067"/>
      <c r="H126" s="298"/>
      <c r="I126" s="474" t="s">
        <v>69</v>
      </c>
      <c r="J126" s="1040">
        <v>0.75</v>
      </c>
      <c r="K126" s="1041"/>
      <c r="L126" s="299"/>
      <c r="M126" s="301">
        <f>IF(H126&gt;0,$D$126+($F$126*(H126*(1-$J$126))),0)</f>
        <v>0</v>
      </c>
      <c r="N126" s="252"/>
      <c r="O126" s="312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</row>
    <row r="127" spans="2:34" s="310" customFormat="1" ht="25.5" customHeight="1">
      <c r="B127" s="18" t="s">
        <v>85</v>
      </c>
      <c r="C127" s="19"/>
      <c r="D127" s="19"/>
      <c r="E127" s="19"/>
      <c r="F127" s="216"/>
      <c r="G127" s="217"/>
      <c r="H127" s="279" t="str">
        <f>SUM(H124:H126)&amp;" GB"</f>
        <v>0 GB</v>
      </c>
      <c r="I127" s="217"/>
      <c r="J127" s="217"/>
      <c r="K127" s="302"/>
      <c r="L127" s="302"/>
      <c r="M127" s="88">
        <f>SUM(M124:M126)</f>
        <v>0</v>
      </c>
      <c r="N127" s="252"/>
      <c r="O127" s="312"/>
      <c r="Q127" s="313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</row>
    <row r="128" spans="2:34" s="310" customFormat="1" ht="25.5" customHeight="1">
      <c r="B128" s="18"/>
      <c r="C128" s="19"/>
      <c r="D128" s="19"/>
      <c r="E128" s="19"/>
      <c r="F128" s="216"/>
      <c r="G128" s="217"/>
      <c r="H128" s="217"/>
      <c r="I128" s="217"/>
      <c r="J128" s="217"/>
      <c r="K128" s="302"/>
      <c r="L128" s="302"/>
      <c r="M128" s="48"/>
      <c r="N128" s="252"/>
      <c r="O128" s="312"/>
      <c r="Q128" s="313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</row>
    <row r="129" spans="2:34" s="310" customFormat="1" ht="25.5" customHeight="1">
      <c r="B129" s="28" t="s">
        <v>288</v>
      </c>
      <c r="C129" s="19"/>
      <c r="D129" s="19"/>
      <c r="E129" s="19"/>
      <c r="F129" s="216"/>
      <c r="G129" s="217"/>
      <c r="H129" s="217"/>
      <c r="I129" s="217"/>
      <c r="J129" s="217"/>
      <c r="K129" s="302"/>
      <c r="L129" s="302"/>
      <c r="M129" s="48"/>
      <c r="N129" s="48"/>
      <c r="O129" s="312"/>
      <c r="Q129" s="313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</row>
    <row r="130" spans="2:34" ht="25.5" customHeight="1">
      <c r="B130" s="28" t="s">
        <v>289</v>
      </c>
      <c r="C130" s="19"/>
      <c r="D130" s="19"/>
      <c r="E130" s="19"/>
      <c r="F130" s="216"/>
      <c r="G130" s="217"/>
      <c r="H130" s="217"/>
      <c r="I130" s="217"/>
      <c r="J130" s="217"/>
      <c r="K130" s="302"/>
      <c r="L130" s="302"/>
      <c r="M130" s="48"/>
      <c r="N130" s="48"/>
      <c r="O130" s="205"/>
      <c r="Q130" s="180"/>
      <c r="R130" s="180"/>
    </row>
    <row r="131" spans="2:34" ht="25.5" customHeight="1">
      <c r="B131" s="28" t="s">
        <v>290</v>
      </c>
      <c r="C131" s="26"/>
      <c r="D131" s="26"/>
      <c r="E131" s="26"/>
      <c r="F131" s="304"/>
      <c r="G131" s="305"/>
      <c r="H131" s="281"/>
      <c r="I131" s="281"/>
      <c r="J131" s="281"/>
      <c r="K131" s="306"/>
      <c r="L131" s="306"/>
      <c r="M131" s="284"/>
      <c r="N131" s="284"/>
      <c r="O131" s="205"/>
      <c r="Q131" s="180"/>
      <c r="R131" s="180"/>
    </row>
    <row r="132" spans="2:34" ht="25.5" customHeight="1">
      <c r="B132" s="28" t="s">
        <v>291</v>
      </c>
      <c r="C132" s="26"/>
      <c r="D132" s="26"/>
      <c r="E132" s="26"/>
      <c r="F132" s="304"/>
      <c r="G132" s="305"/>
      <c r="H132" s="281"/>
      <c r="I132" s="281"/>
      <c r="J132" s="281"/>
      <c r="K132" s="306"/>
      <c r="L132" s="284"/>
      <c r="M132" s="284"/>
      <c r="N132" s="189"/>
      <c r="O132" s="205"/>
      <c r="P132" s="180"/>
      <c r="Q132" s="180"/>
    </row>
    <row r="133" spans="2:34" ht="25.5" customHeight="1">
      <c r="B133" s="28"/>
      <c r="C133" s="26"/>
      <c r="D133" s="26"/>
      <c r="E133" s="26"/>
      <c r="F133" s="304"/>
      <c r="G133" s="305"/>
      <c r="H133" s="281"/>
      <c r="I133" s="281"/>
      <c r="J133" s="281"/>
      <c r="K133" s="306"/>
      <c r="L133" s="284"/>
      <c r="M133" s="284"/>
      <c r="N133" s="189"/>
      <c r="O133" s="205"/>
      <c r="P133" s="180"/>
      <c r="Q133" s="180"/>
    </row>
    <row r="134" spans="2:34" ht="25.5" customHeight="1">
      <c r="B134" s="28"/>
      <c r="C134" s="26"/>
      <c r="D134" s="26"/>
      <c r="E134" s="26"/>
      <c r="F134" s="304"/>
      <c r="G134" s="305"/>
      <c r="H134" s="281"/>
      <c r="I134" s="281"/>
      <c r="J134" s="281"/>
      <c r="K134" s="306"/>
      <c r="L134" s="284"/>
      <c r="M134" s="284"/>
      <c r="N134" s="189"/>
      <c r="O134" s="205"/>
      <c r="P134" s="180"/>
      <c r="Q134" s="180"/>
    </row>
    <row r="135" spans="2:34" ht="25.5" customHeight="1">
      <c r="B135" s="28"/>
      <c r="C135" s="26"/>
      <c r="D135" s="26"/>
      <c r="E135" s="26"/>
      <c r="F135" s="304"/>
      <c r="G135" s="305"/>
      <c r="H135" s="281"/>
      <c r="I135" s="281"/>
      <c r="J135" s="281"/>
      <c r="K135" s="306"/>
      <c r="L135" s="284"/>
      <c r="M135" s="284"/>
      <c r="N135" s="189"/>
      <c r="O135" s="205"/>
      <c r="P135" s="180"/>
      <c r="Q135" s="180"/>
    </row>
    <row r="136" spans="2:34" ht="25.5" customHeight="1">
      <c r="B136" s="28"/>
      <c r="C136" s="26"/>
      <c r="D136" s="26"/>
      <c r="E136" s="26"/>
      <c r="F136" s="304"/>
      <c r="G136" s="305"/>
      <c r="H136" s="281"/>
      <c r="I136" s="281"/>
      <c r="J136" s="281"/>
      <c r="K136" s="306"/>
      <c r="L136" s="284"/>
      <c r="M136" s="284"/>
      <c r="N136" s="189"/>
      <c r="O136" s="205"/>
      <c r="P136" s="180"/>
      <c r="Q136" s="180"/>
    </row>
    <row r="137" spans="2:34" s="169" customFormat="1" ht="25.5" customHeight="1">
      <c r="B137" s="994" t="s">
        <v>292</v>
      </c>
      <c r="C137" s="994"/>
      <c r="D137" s="994"/>
      <c r="E137" s="994"/>
      <c r="F137" s="994"/>
      <c r="G137" s="994"/>
      <c r="H137" s="177"/>
      <c r="J137" s="178"/>
      <c r="K137" s="178"/>
      <c r="M137" s="284"/>
      <c r="N137" s="189"/>
      <c r="O137" s="205"/>
    </row>
    <row r="138" spans="2:34" s="169" customFormat="1" ht="25.5" customHeight="1">
      <c r="B138" s="994"/>
      <c r="C138" s="994"/>
      <c r="D138" s="994"/>
      <c r="E138" s="994"/>
      <c r="F138" s="994"/>
      <c r="G138" s="994"/>
      <c r="H138" s="177"/>
      <c r="J138" s="178"/>
      <c r="K138" s="178"/>
      <c r="M138" s="284"/>
      <c r="N138" s="189"/>
      <c r="O138" s="205"/>
    </row>
    <row r="139" spans="2:34" s="169" customFormat="1" ht="25.5" customHeight="1">
      <c r="B139" s="994"/>
      <c r="C139" s="994"/>
      <c r="D139" s="994"/>
      <c r="E139" s="994"/>
      <c r="F139" s="994"/>
      <c r="G139" s="994"/>
      <c r="H139" s="177"/>
      <c r="J139" s="178"/>
      <c r="K139" s="178"/>
      <c r="M139" s="284"/>
      <c r="N139" s="189"/>
      <c r="O139" s="205"/>
    </row>
    <row r="140" spans="2:34" s="169" customFormat="1" ht="25.5" customHeight="1">
      <c r="B140" s="1021" t="s">
        <v>285</v>
      </c>
      <c r="C140" s="1021"/>
      <c r="D140" s="1021"/>
      <c r="E140" s="1021"/>
      <c r="F140" s="1021"/>
      <c r="H140" s="177"/>
      <c r="J140" s="178"/>
      <c r="K140" s="178"/>
      <c r="M140" s="284"/>
      <c r="N140" s="189"/>
      <c r="O140" s="205"/>
    </row>
    <row r="141" spans="2:34" s="169" customFormat="1" ht="25.5" customHeight="1">
      <c r="B141" s="996"/>
      <c r="C141" s="996"/>
      <c r="D141" s="996"/>
      <c r="E141" s="996"/>
      <c r="F141" s="996"/>
      <c r="G141" s="182"/>
      <c r="H141" s="183"/>
      <c r="I141" s="182"/>
      <c r="J141" s="184"/>
      <c r="K141" s="185"/>
      <c r="L141" s="182"/>
      <c r="M141" s="284"/>
      <c r="N141" s="189"/>
      <c r="O141" s="205"/>
    </row>
    <row r="142" spans="2:34" s="169" customFormat="1" ht="25.5" customHeight="1">
      <c r="B142" s="133"/>
      <c r="C142" s="133"/>
      <c r="D142" s="133"/>
      <c r="E142" s="133"/>
      <c r="F142" s="530"/>
      <c r="G142" s="182"/>
      <c r="H142" s="183"/>
      <c r="I142" s="182"/>
      <c r="J142" s="184"/>
      <c r="K142" s="185"/>
      <c r="L142" s="182"/>
      <c r="M142" s="284"/>
      <c r="N142" s="189"/>
      <c r="O142" s="205"/>
    </row>
    <row r="143" spans="2:34" s="189" customFormat="1" ht="25.5" customHeight="1">
      <c r="B143" s="21" t="s">
        <v>293</v>
      </c>
      <c r="C143" s="133"/>
      <c r="D143" s="133"/>
      <c r="E143" s="133"/>
      <c r="F143" s="530"/>
      <c r="G143" s="182"/>
      <c r="H143" s="182"/>
      <c r="I143" s="182"/>
      <c r="J143" s="184"/>
      <c r="K143" s="185"/>
      <c r="L143" s="182"/>
      <c r="M143" s="284"/>
      <c r="O143" s="205"/>
      <c r="P143" s="180"/>
      <c r="Q143" s="180"/>
      <c r="R143" s="180"/>
      <c r="S143" s="180"/>
      <c r="T143" s="180"/>
      <c r="U143" s="180"/>
    </row>
    <row r="144" spans="2:34" ht="25.5" customHeight="1">
      <c r="B144" s="470" t="s">
        <v>208</v>
      </c>
      <c r="C144" s="23" t="s">
        <v>102</v>
      </c>
      <c r="D144" s="23"/>
      <c r="E144" s="24" t="s">
        <v>276</v>
      </c>
      <c r="F144" s="265"/>
      <c r="G144" s="265"/>
      <c r="H144" s="265"/>
      <c r="I144" s="265"/>
      <c r="J144" s="265"/>
      <c r="K144" s="265"/>
      <c r="L144" s="314" t="s">
        <v>294</v>
      </c>
      <c r="M144" s="537" t="s">
        <v>269</v>
      </c>
      <c r="N144" s="198"/>
      <c r="O144" s="205"/>
      <c r="P144" s="315"/>
      <c r="Q144" s="198"/>
      <c r="R144" s="284"/>
      <c r="S144" s="189"/>
    </row>
    <row r="145" spans="2:22" ht="25.5" customHeight="1">
      <c r="B145" s="134" t="s">
        <v>104</v>
      </c>
      <c r="C145" s="129" t="s">
        <v>105</v>
      </c>
      <c r="D145" s="129"/>
      <c r="E145" s="39" t="s">
        <v>237</v>
      </c>
      <c r="F145" s="316"/>
      <c r="G145" s="316"/>
      <c r="H145" s="316"/>
      <c r="I145" s="316"/>
      <c r="J145" s="316"/>
      <c r="K145" s="316"/>
      <c r="L145" s="318" t="s">
        <v>295</v>
      </c>
      <c r="M145" s="542">
        <f>NET_publicv4_SEK</f>
        <v>25</v>
      </c>
      <c r="O145" s="205"/>
      <c r="P145" s="190"/>
      <c r="R145" s="284"/>
      <c r="S145" s="189"/>
    </row>
    <row r="146" spans="2:22" ht="25.5" customHeight="1">
      <c r="B146" s="137" t="s">
        <v>108</v>
      </c>
      <c r="C146" s="130" t="s">
        <v>109</v>
      </c>
      <c r="D146" s="130"/>
      <c r="E146" s="41" t="s">
        <v>237</v>
      </c>
      <c r="F146" s="319"/>
      <c r="G146" s="319"/>
      <c r="H146" s="319"/>
      <c r="I146" s="319"/>
      <c r="J146" s="319"/>
      <c r="K146" s="319"/>
      <c r="L146" s="321" t="s">
        <v>94</v>
      </c>
      <c r="M146" s="543">
        <f>NET_publicv6_SEK</f>
        <v>0</v>
      </c>
      <c r="O146" s="205"/>
      <c r="P146" s="190"/>
      <c r="R146" s="284"/>
      <c r="S146" s="189"/>
    </row>
    <row r="147" spans="2:22" ht="25.5" customHeight="1">
      <c r="B147" s="134" t="s">
        <v>110</v>
      </c>
      <c r="C147" s="129" t="s">
        <v>296</v>
      </c>
      <c r="D147" s="129"/>
      <c r="E147" s="148"/>
      <c r="F147" s="322"/>
      <c r="G147" s="322"/>
      <c r="H147" s="322"/>
      <c r="I147" s="322"/>
      <c r="J147" s="322"/>
      <c r="K147" s="322"/>
      <c r="L147" s="318" t="s">
        <v>69</v>
      </c>
      <c r="M147" s="542">
        <f>NET_ingress_SEK</f>
        <v>0</v>
      </c>
      <c r="O147" s="205"/>
      <c r="P147" s="190"/>
      <c r="R147" s="284"/>
      <c r="S147" s="189"/>
    </row>
    <row r="148" spans="2:22" ht="25.5" customHeight="1">
      <c r="B148" s="137" t="s">
        <v>112</v>
      </c>
      <c r="C148" s="130" t="s">
        <v>296</v>
      </c>
      <c r="D148" s="130"/>
      <c r="E148" s="41" t="s">
        <v>297</v>
      </c>
      <c r="F148" s="319"/>
      <c r="G148" s="319"/>
      <c r="H148" s="319"/>
      <c r="I148" s="319"/>
      <c r="J148" s="319"/>
      <c r="K148" s="319"/>
      <c r="L148" s="324" t="s">
        <v>69</v>
      </c>
      <c r="M148" s="543">
        <f>NET_egress_SEK</f>
        <v>0.25</v>
      </c>
      <c r="O148" s="205"/>
      <c r="P148" s="190"/>
      <c r="R148" s="284"/>
      <c r="S148" s="189"/>
    </row>
    <row r="149" spans="2:22" ht="25.5" customHeight="1">
      <c r="B149" s="134" t="s">
        <v>114</v>
      </c>
      <c r="C149" s="129" t="s">
        <v>115</v>
      </c>
      <c r="D149" s="129"/>
      <c r="E149" s="30"/>
      <c r="F149" s="322"/>
      <c r="G149" s="322"/>
      <c r="H149" s="322"/>
      <c r="I149" s="322"/>
      <c r="J149" s="322"/>
      <c r="K149" s="322"/>
      <c r="L149" s="318" t="s">
        <v>240</v>
      </c>
      <c r="M149" s="542" t="str">
        <f>NET_mgn.slb_SEK</f>
        <v>Begär offert</v>
      </c>
      <c r="O149" s="205"/>
      <c r="Q149" s="191"/>
    </row>
    <row r="150" spans="2:22" ht="25.5" customHeight="1">
      <c r="B150" s="137" t="s">
        <v>117</v>
      </c>
      <c r="C150" s="130" t="s">
        <v>118</v>
      </c>
      <c r="D150" s="130"/>
      <c r="E150" s="41"/>
      <c r="F150" s="319"/>
      <c r="G150" s="319"/>
      <c r="H150" s="319"/>
      <c r="I150" s="319"/>
      <c r="J150" s="319"/>
      <c r="K150" s="319"/>
      <c r="L150" s="321" t="s">
        <v>94</v>
      </c>
      <c r="M150" s="543">
        <f>NET_rdns_SEK</f>
        <v>0</v>
      </c>
      <c r="O150" s="205"/>
      <c r="P150" s="190"/>
      <c r="R150" s="284"/>
      <c r="S150" s="189"/>
    </row>
    <row r="151" spans="2:22" ht="25.5" customHeight="1">
      <c r="B151" s="134" t="s">
        <v>120</v>
      </c>
      <c r="C151" s="129" t="s">
        <v>121</v>
      </c>
      <c r="D151" s="129"/>
      <c r="E151" s="30"/>
      <c r="F151" s="322"/>
      <c r="G151" s="322"/>
      <c r="H151" s="322"/>
      <c r="I151" s="322"/>
      <c r="J151" s="322"/>
      <c r="K151" s="322"/>
      <c r="L151" s="318" t="s">
        <v>94</v>
      </c>
      <c r="M151" s="542">
        <f>NET_byoip_SEK</f>
        <v>0</v>
      </c>
      <c r="O151" s="205"/>
      <c r="P151" s="190"/>
      <c r="R151" s="284"/>
      <c r="S151" s="189"/>
    </row>
    <row r="152" spans="2:22" ht="40.5" customHeight="1">
      <c r="B152" s="141"/>
      <c r="C152" s="141"/>
      <c r="D152" s="142"/>
      <c r="E152" s="142"/>
      <c r="F152" s="327"/>
      <c r="G152" s="327"/>
      <c r="H152" s="327"/>
      <c r="I152" s="327"/>
      <c r="J152" s="327"/>
      <c r="K152" s="327"/>
      <c r="L152" s="326"/>
      <c r="M152" s="327"/>
      <c r="O152" s="205"/>
      <c r="P152" s="190"/>
      <c r="R152" s="284"/>
      <c r="S152" s="189"/>
    </row>
    <row r="153" spans="2:22" ht="25.5" customHeight="1">
      <c r="B153" s="416" t="s">
        <v>298</v>
      </c>
      <c r="C153" s="13"/>
      <c r="D153" s="13"/>
      <c r="E153" s="13"/>
      <c r="F153" s="198"/>
      <c r="G153" s="198"/>
      <c r="H153" s="198"/>
      <c r="I153" s="198"/>
      <c r="J153" s="198"/>
      <c r="K153" s="198"/>
      <c r="L153" s="328"/>
      <c r="M153" s="161"/>
      <c r="O153" s="205"/>
      <c r="Q153" s="191"/>
      <c r="R153" s="284"/>
      <c r="S153" s="189"/>
    </row>
    <row r="154" spans="2:22" ht="25.5" customHeight="1">
      <c r="B154" s="470" t="s">
        <v>208</v>
      </c>
      <c r="C154" s="23" t="s">
        <v>102</v>
      </c>
      <c r="D154" s="23"/>
      <c r="E154" s="23" t="s">
        <v>276</v>
      </c>
      <c r="F154" s="265"/>
      <c r="G154" s="265"/>
      <c r="H154" s="265"/>
      <c r="I154" s="265"/>
      <c r="J154" s="265"/>
      <c r="K154" s="265"/>
      <c r="L154" s="314" t="s">
        <v>294</v>
      </c>
      <c r="M154" s="537" t="s">
        <v>269</v>
      </c>
      <c r="O154" s="205"/>
      <c r="R154" s="284"/>
      <c r="S154" s="189"/>
    </row>
    <row r="155" spans="2:22" ht="25.5" customHeight="1">
      <c r="B155" s="134" t="s">
        <v>122</v>
      </c>
      <c r="C155" s="129"/>
      <c r="D155" s="30"/>
      <c r="E155" s="30" t="s">
        <v>123</v>
      </c>
      <c r="F155" s="316"/>
      <c r="G155" s="316"/>
      <c r="H155" s="316"/>
      <c r="I155" s="316"/>
      <c r="J155" s="316"/>
      <c r="K155" s="316"/>
      <c r="L155" s="318" t="s">
        <v>10</v>
      </c>
      <c r="M155" s="442">
        <f>SW_win.ser.201X_SEK</f>
        <v>78</v>
      </c>
      <c r="N155" s="281"/>
      <c r="O155" s="205"/>
      <c r="Q155" s="284"/>
      <c r="R155" s="284"/>
      <c r="S155" s="189"/>
      <c r="U155" s="180"/>
      <c r="V155" s="180"/>
    </row>
    <row r="156" spans="2:22" ht="25.5" customHeight="1">
      <c r="B156" s="137" t="s">
        <v>124</v>
      </c>
      <c r="C156" s="130"/>
      <c r="D156" s="38"/>
      <c r="E156" s="38" t="s">
        <v>125</v>
      </c>
      <c r="F156" s="319"/>
      <c r="G156" s="319"/>
      <c r="H156" s="319"/>
      <c r="I156" s="319"/>
      <c r="J156" s="319"/>
      <c r="K156" s="319"/>
      <c r="L156" s="324" t="s">
        <v>10</v>
      </c>
      <c r="M156" s="441">
        <f>SW_win.ser.201X_SEK</f>
        <v>78</v>
      </c>
      <c r="N156" s="281"/>
      <c r="O156" s="205"/>
      <c r="Q156" s="284"/>
      <c r="R156" s="284"/>
      <c r="S156" s="189"/>
      <c r="U156" s="180"/>
      <c r="V156" s="180"/>
    </row>
    <row r="157" spans="2:22" s="169" customFormat="1" ht="25.5" customHeight="1">
      <c r="B157" s="134" t="s">
        <v>126</v>
      </c>
      <c r="C157" s="129"/>
      <c r="D157" s="30"/>
      <c r="E157" s="30" t="s">
        <v>127</v>
      </c>
      <c r="F157" s="316"/>
      <c r="G157" s="316"/>
      <c r="H157" s="316"/>
      <c r="I157" s="316"/>
      <c r="J157" s="316"/>
      <c r="K157" s="316"/>
      <c r="L157" s="318" t="s">
        <v>10</v>
      </c>
      <c r="M157" s="442">
        <f>SW_ms.sql.ser_SEK</f>
        <v>1498</v>
      </c>
      <c r="O157" s="205"/>
      <c r="P157" s="161"/>
      <c r="R157" s="284"/>
      <c r="S157" s="189"/>
    </row>
    <row r="158" spans="2:22" ht="25.5" customHeight="1">
      <c r="B158" s="137" t="s">
        <v>128</v>
      </c>
      <c r="C158" s="130"/>
      <c r="D158" s="38"/>
      <c r="E158" s="38" t="s">
        <v>129</v>
      </c>
      <c r="F158" s="319"/>
      <c r="G158" s="319"/>
      <c r="H158" s="319"/>
      <c r="I158" s="319"/>
      <c r="J158" s="319"/>
      <c r="K158" s="319"/>
      <c r="L158" s="324" t="s">
        <v>299</v>
      </c>
      <c r="M158" s="441" t="str">
        <f>SW_stackn_SEK</f>
        <v>Begär offert</v>
      </c>
      <c r="O158" s="205"/>
      <c r="R158" s="284"/>
      <c r="S158" s="189"/>
    </row>
    <row r="159" spans="2:22" ht="25.5" customHeight="1">
      <c r="B159" s="134" t="s">
        <v>130</v>
      </c>
      <c r="C159" s="129"/>
      <c r="D159" s="30"/>
      <c r="E159" s="30" t="s">
        <v>131</v>
      </c>
      <c r="F159" s="316"/>
      <c r="G159" s="316"/>
      <c r="H159" s="316"/>
      <c r="I159" s="316"/>
      <c r="J159" s="316"/>
      <c r="K159" s="316"/>
      <c r="L159" s="325" t="s">
        <v>94</v>
      </c>
      <c r="M159" s="442" t="str">
        <f>SW_nextcloud_SEK</f>
        <v>Begär offert</v>
      </c>
      <c r="N159" s="281"/>
      <c r="O159" s="205"/>
      <c r="Q159" s="284"/>
      <c r="R159" s="284"/>
      <c r="S159" s="189"/>
      <c r="U159" s="180"/>
      <c r="V159" s="180"/>
    </row>
    <row r="160" spans="2:22" s="169" customFormat="1" ht="25.5" customHeight="1">
      <c r="B160" s="137" t="s">
        <v>132</v>
      </c>
      <c r="C160" s="130"/>
      <c r="D160" s="38"/>
      <c r="E160" s="38" t="s">
        <v>133</v>
      </c>
      <c r="F160" s="319"/>
      <c r="G160" s="319"/>
      <c r="H160" s="319"/>
      <c r="I160" s="319"/>
      <c r="J160" s="319"/>
      <c r="K160" s="319"/>
      <c r="L160" s="321" t="s">
        <v>94</v>
      </c>
      <c r="M160" s="441" t="str">
        <f>SW_suse_SEK</f>
        <v>Begär offert</v>
      </c>
      <c r="O160" s="205"/>
      <c r="P160" s="161"/>
      <c r="R160" s="284"/>
      <c r="S160" s="189"/>
    </row>
    <row r="161" spans="2:19" ht="25.5" customHeight="1">
      <c r="B161" s="134" t="s">
        <v>134</v>
      </c>
      <c r="C161" s="129"/>
      <c r="D161" s="30"/>
      <c r="E161" s="30" t="s">
        <v>135</v>
      </c>
      <c r="F161" s="316"/>
      <c r="G161" s="316"/>
      <c r="H161" s="316"/>
      <c r="I161" s="316"/>
      <c r="J161" s="316"/>
      <c r="K161" s="316"/>
      <c r="L161" s="325" t="s">
        <v>94</v>
      </c>
      <c r="M161" s="442" t="str">
        <f>SW_cluster.control_SEK</f>
        <v>3x instanspris</v>
      </c>
      <c r="O161" s="205"/>
      <c r="R161" s="284"/>
      <c r="S161" s="189"/>
    </row>
    <row r="162" spans="2:19" ht="25.5" customHeight="1">
      <c r="B162" s="137" t="s">
        <v>136</v>
      </c>
      <c r="C162" s="130"/>
      <c r="D162" s="38"/>
      <c r="E162" s="38" t="s">
        <v>137</v>
      </c>
      <c r="F162" s="319"/>
      <c r="G162" s="319"/>
      <c r="H162" s="319"/>
      <c r="I162" s="319"/>
      <c r="J162" s="319"/>
      <c r="K162" s="319"/>
      <c r="L162" s="324" t="s">
        <v>140</v>
      </c>
      <c r="M162" s="441">
        <f>SW_backup.ninja_SEK</f>
        <v>400</v>
      </c>
      <c r="O162" s="205"/>
      <c r="R162" s="284"/>
      <c r="S162" s="189"/>
    </row>
    <row r="163" spans="2:19" ht="25.5" customHeight="1">
      <c r="B163" s="106"/>
      <c r="C163" s="103"/>
      <c r="D163" s="104"/>
      <c r="E163" s="105"/>
      <c r="F163" s="330"/>
      <c r="G163" s="330"/>
      <c r="H163" s="330"/>
      <c r="I163" s="330"/>
      <c r="J163" s="330"/>
      <c r="K163" s="330"/>
      <c r="L163" s="331"/>
      <c r="M163" s="333"/>
      <c r="O163" s="205"/>
      <c r="P163" s="190"/>
      <c r="R163" s="284"/>
      <c r="S163" s="189"/>
    </row>
    <row r="164" spans="2:19" ht="25.5" customHeight="1">
      <c r="B164" s="471"/>
      <c r="K164" s="161"/>
      <c r="M164" s="161"/>
      <c r="O164" s="205"/>
      <c r="Q164" s="191"/>
      <c r="R164" s="284"/>
      <c r="S164" s="189"/>
    </row>
    <row r="165" spans="2:19" ht="25.5" customHeight="1">
      <c r="B165" s="416" t="s">
        <v>242</v>
      </c>
      <c r="C165" s="13"/>
      <c r="D165" s="13"/>
      <c r="F165" s="198"/>
      <c r="G165" s="198"/>
      <c r="H165" s="198"/>
      <c r="I165" s="198"/>
      <c r="J165" s="198"/>
      <c r="K165" s="198"/>
      <c r="L165" s="198"/>
      <c r="M165" s="161"/>
      <c r="O165" s="205"/>
      <c r="Q165" s="191"/>
      <c r="R165" s="284"/>
      <c r="S165" s="189"/>
    </row>
    <row r="166" spans="2:19" ht="25.5" customHeight="1">
      <c r="B166" s="470" t="s">
        <v>208</v>
      </c>
      <c r="C166" s="23"/>
      <c r="D166" s="23"/>
      <c r="E166" s="23" t="s">
        <v>276</v>
      </c>
      <c r="F166" s="265"/>
      <c r="G166" s="265"/>
      <c r="H166" s="265"/>
      <c r="I166" s="265"/>
      <c r="J166" s="265"/>
      <c r="K166" s="265"/>
      <c r="L166" s="537"/>
      <c r="M166" s="537" t="s">
        <v>269</v>
      </c>
      <c r="O166" s="205"/>
      <c r="Q166" s="191"/>
      <c r="R166" s="284"/>
      <c r="S166" s="189"/>
    </row>
    <row r="167" spans="2:19" ht="25.5" customHeight="1">
      <c r="B167" s="134" t="s">
        <v>412</v>
      </c>
      <c r="C167" s="129"/>
      <c r="D167" s="30"/>
      <c r="E167" s="30" t="s">
        <v>414</v>
      </c>
      <c r="F167" s="316"/>
      <c r="G167" s="316"/>
      <c r="H167" s="316"/>
      <c r="I167" s="316"/>
      <c r="J167" s="316"/>
      <c r="K167" s="316"/>
      <c r="L167" s="317"/>
      <c r="M167" s="555">
        <f>PAAS_man.kubernetes24_SEK</f>
        <v>24000</v>
      </c>
      <c r="O167" s="205"/>
      <c r="Q167" s="191"/>
      <c r="R167" s="284"/>
      <c r="S167" s="189"/>
    </row>
    <row r="168" spans="2:19" ht="25.5" customHeight="1">
      <c r="B168" s="137" t="s">
        <v>413</v>
      </c>
      <c r="C168" s="130"/>
      <c r="D168" s="38"/>
      <c r="E168" s="38" t="s">
        <v>415</v>
      </c>
      <c r="F168" s="319"/>
      <c r="G168" s="319"/>
      <c r="H168" s="319"/>
      <c r="I168" s="319"/>
      <c r="J168" s="319"/>
      <c r="K168" s="319"/>
      <c r="L168" s="320"/>
      <c r="M168" s="556">
        <f>PAAS_man.kubernetes8_SEK</f>
        <v>15000</v>
      </c>
      <c r="O168" s="205"/>
      <c r="Q168" s="191"/>
      <c r="R168" s="284"/>
      <c r="S168" s="189"/>
    </row>
    <row r="169" spans="2:19" ht="25.5" customHeight="1">
      <c r="B169" s="134" t="s">
        <v>141</v>
      </c>
      <c r="C169" s="129"/>
      <c r="D169" s="30"/>
      <c r="E169" s="30" t="s">
        <v>243</v>
      </c>
      <c r="F169" s="316"/>
      <c r="G169" s="316"/>
      <c r="H169" s="316"/>
      <c r="I169" s="316"/>
      <c r="J169" s="316"/>
      <c r="K169" s="316"/>
      <c r="L169" s="317"/>
      <c r="M169" s="557" t="s">
        <v>309</v>
      </c>
      <c r="O169" s="205"/>
      <c r="Q169" s="191"/>
      <c r="R169" s="284"/>
      <c r="S169" s="189"/>
    </row>
    <row r="170" spans="2:19" ht="25.5" customHeight="1">
      <c r="B170" s="137" t="s">
        <v>143</v>
      </c>
      <c r="C170" s="130"/>
      <c r="D170" s="38"/>
      <c r="E170" s="38" t="s">
        <v>144</v>
      </c>
      <c r="F170" s="319"/>
      <c r="G170" s="319"/>
      <c r="H170" s="319"/>
      <c r="I170" s="319"/>
      <c r="J170" s="319"/>
      <c r="K170" s="319"/>
      <c r="L170" s="320"/>
      <c r="M170" s="556" t="s">
        <v>309</v>
      </c>
      <c r="O170" s="205"/>
      <c r="Q170" s="191"/>
      <c r="R170" s="284"/>
      <c r="S170" s="189"/>
    </row>
    <row r="171" spans="2:19" ht="25.5" customHeight="1">
      <c r="B171" s="134" t="s">
        <v>146</v>
      </c>
      <c r="C171" s="129"/>
      <c r="D171" s="30"/>
      <c r="E171" s="30" t="s">
        <v>147</v>
      </c>
      <c r="F171" s="316"/>
      <c r="G171" s="316"/>
      <c r="H171" s="316"/>
      <c r="I171" s="316"/>
      <c r="J171" s="316"/>
      <c r="K171" s="316"/>
      <c r="L171" s="317"/>
      <c r="M171" s="557" t="s">
        <v>309</v>
      </c>
      <c r="O171" s="205"/>
      <c r="Q171" s="191"/>
      <c r="R171" s="284"/>
      <c r="S171" s="189"/>
    </row>
    <row r="172" spans="2:19" ht="25.5" customHeight="1">
      <c r="B172" s="137" t="s">
        <v>149</v>
      </c>
      <c r="C172" s="130"/>
      <c r="D172" s="38"/>
      <c r="E172" s="38" t="s">
        <v>150</v>
      </c>
      <c r="F172" s="319"/>
      <c r="G172" s="319"/>
      <c r="H172" s="319"/>
      <c r="I172" s="319"/>
      <c r="J172" s="319"/>
      <c r="K172" s="319"/>
      <c r="L172" s="320"/>
      <c r="M172" s="558" t="s">
        <v>309</v>
      </c>
      <c r="O172" s="205"/>
      <c r="Q172" s="191"/>
      <c r="R172" s="284"/>
      <c r="S172" s="189"/>
    </row>
    <row r="173" spans="2:19" ht="25.5" customHeight="1">
      <c r="B173" s="103"/>
      <c r="C173" s="103"/>
      <c r="D173" s="397"/>
      <c r="E173" s="105"/>
      <c r="F173" s="330"/>
      <c r="G173" s="330"/>
      <c r="H173" s="330"/>
      <c r="I173" s="330"/>
      <c r="J173" s="330"/>
      <c r="K173" s="330"/>
      <c r="L173" s="331"/>
      <c r="M173" s="333"/>
      <c r="O173" s="205"/>
      <c r="Q173" s="191"/>
      <c r="R173" s="284"/>
      <c r="S173" s="189"/>
    </row>
    <row r="174" spans="2:19" ht="25.5" customHeight="1">
      <c r="B174" s="130"/>
      <c r="C174" s="130"/>
      <c r="D174" s="38"/>
      <c r="E174" s="31"/>
      <c r="F174" s="319"/>
      <c r="G174" s="320"/>
      <c r="H174" s="324"/>
      <c r="I174" s="543"/>
      <c r="M174" s="284"/>
      <c r="N174" s="189"/>
      <c r="O174" s="205"/>
    </row>
    <row r="175" spans="2:19" ht="25.5" customHeight="1">
      <c r="B175" s="28"/>
      <c r="C175" s="26"/>
      <c r="D175" s="26"/>
      <c r="E175" s="26"/>
      <c r="F175" s="304"/>
      <c r="G175" s="305"/>
      <c r="H175" s="303"/>
      <c r="I175" s="281"/>
      <c r="J175" s="281"/>
      <c r="K175" s="306"/>
      <c r="L175" s="284"/>
      <c r="M175" s="284"/>
      <c r="N175" s="189"/>
      <c r="O175" s="205"/>
      <c r="P175" s="180"/>
      <c r="Q175" s="180"/>
    </row>
    <row r="176" spans="2:19" s="169" customFormat="1" ht="25.5" customHeight="1">
      <c r="B176" s="994" t="s">
        <v>300</v>
      </c>
      <c r="C176" s="994"/>
      <c r="D176" s="994"/>
      <c r="E176" s="994"/>
      <c r="F176" s="994"/>
      <c r="G176" s="994"/>
      <c r="H176" s="335"/>
      <c r="J176" s="178"/>
      <c r="K176" s="178"/>
      <c r="M176" s="284"/>
      <c r="N176" s="189"/>
      <c r="O176" s="205"/>
    </row>
    <row r="177" spans="2:22" s="169" customFormat="1" ht="25.5" customHeight="1">
      <c r="B177" s="994"/>
      <c r="C177" s="994"/>
      <c r="D177" s="994"/>
      <c r="E177" s="994"/>
      <c r="F177" s="994"/>
      <c r="G177" s="994"/>
      <c r="H177" s="335"/>
      <c r="J177" s="178"/>
      <c r="K177" s="178"/>
      <c r="M177" s="284"/>
      <c r="N177" s="189"/>
      <c r="O177" s="205"/>
    </row>
    <row r="178" spans="2:22" s="169" customFormat="1" ht="25.5" customHeight="1">
      <c r="B178" s="994"/>
      <c r="C178" s="994"/>
      <c r="D178" s="994"/>
      <c r="E178" s="994"/>
      <c r="F178" s="994"/>
      <c r="G178" s="994"/>
      <c r="H178" s="335"/>
      <c r="J178" s="178"/>
      <c r="K178" s="178"/>
      <c r="M178" s="284"/>
      <c r="N178" s="189"/>
      <c r="O178" s="205"/>
    </row>
    <row r="179" spans="2:22" s="169" customFormat="1" ht="25.5" customHeight="1">
      <c r="B179" s="1021" t="s">
        <v>285</v>
      </c>
      <c r="C179" s="1021"/>
      <c r="D179" s="1021"/>
      <c r="E179" s="1021"/>
      <c r="F179" s="1021"/>
      <c r="H179" s="335"/>
      <c r="J179" s="178"/>
      <c r="K179" s="178"/>
      <c r="M179" s="284"/>
      <c r="N179" s="189"/>
      <c r="O179" s="205"/>
    </row>
    <row r="180" spans="2:22" s="169" customFormat="1" ht="25.5" customHeight="1">
      <c r="B180" s="996"/>
      <c r="C180" s="996"/>
      <c r="D180" s="996"/>
      <c r="E180" s="996"/>
      <c r="F180" s="996"/>
      <c r="G180" s="182"/>
      <c r="H180" s="183"/>
      <c r="I180" s="182"/>
      <c r="J180" s="184"/>
      <c r="K180" s="185"/>
      <c r="L180" s="182"/>
      <c r="M180" s="284"/>
      <c r="N180" s="189"/>
      <c r="O180" s="205"/>
    </row>
    <row r="181" spans="2:22" s="169" customFormat="1" ht="25.5" customHeight="1">
      <c r="B181" s="133"/>
      <c r="C181" s="133"/>
      <c r="D181" s="133"/>
      <c r="E181" s="133"/>
      <c r="F181" s="530"/>
      <c r="G181" s="182"/>
      <c r="H181" s="183"/>
      <c r="I181" s="182"/>
      <c r="J181" s="184"/>
      <c r="K181" s="185"/>
      <c r="L181" s="182"/>
      <c r="M181" s="284"/>
      <c r="N181" s="189"/>
      <c r="O181" s="205"/>
    </row>
    <row r="182" spans="2:22" ht="25.5" customHeight="1">
      <c r="B182" s="416" t="s">
        <v>152</v>
      </c>
      <c r="C182" s="13"/>
      <c r="D182" s="13"/>
      <c r="F182" s="198"/>
      <c r="G182" s="198"/>
      <c r="H182" s="198"/>
      <c r="I182" s="198"/>
      <c r="J182" s="198"/>
      <c r="K182" s="198"/>
      <c r="L182" s="198"/>
      <c r="M182" s="161"/>
      <c r="N182" s="281"/>
      <c r="O182" s="205"/>
      <c r="Q182" s="284"/>
      <c r="R182" s="284"/>
      <c r="S182" s="189"/>
      <c r="U182" s="180"/>
      <c r="V182" s="180"/>
    </row>
    <row r="183" spans="2:22" ht="25.5" customHeight="1">
      <c r="B183" s="470" t="s">
        <v>208</v>
      </c>
      <c r="C183" s="23"/>
      <c r="D183" s="23" t="s">
        <v>276</v>
      </c>
      <c r="E183" s="132"/>
      <c r="F183" s="265"/>
      <c r="G183" s="537"/>
      <c r="H183" s="537"/>
      <c r="I183" s="537"/>
      <c r="J183" s="537"/>
      <c r="K183" s="314" t="s">
        <v>301</v>
      </c>
      <c r="L183" s="314"/>
      <c r="M183" s="537" t="s">
        <v>92</v>
      </c>
      <c r="N183" s="281"/>
      <c r="O183" s="205"/>
      <c r="Q183" s="284"/>
      <c r="R183" s="284"/>
      <c r="S183" s="189"/>
      <c r="U183" s="180"/>
      <c r="V183" s="180"/>
    </row>
    <row r="184" spans="2:22" ht="25.5" customHeight="1">
      <c r="B184" s="134" t="s">
        <v>153</v>
      </c>
      <c r="C184" s="129"/>
      <c r="D184" s="30" t="s">
        <v>154</v>
      </c>
      <c r="E184" s="40"/>
      <c r="F184" s="316"/>
      <c r="G184" s="317"/>
      <c r="H184" s="317"/>
      <c r="I184" s="317"/>
      <c r="J184" s="317"/>
      <c r="K184" s="325" t="s">
        <v>94</v>
      </c>
      <c r="L184" s="325"/>
      <c r="M184" s="442">
        <v>0</v>
      </c>
      <c r="N184" s="281"/>
      <c r="O184" s="205"/>
      <c r="Q184" s="284"/>
      <c r="R184" s="284"/>
      <c r="S184" s="189"/>
      <c r="U184" s="180"/>
      <c r="V184" s="180"/>
    </row>
    <row r="185" spans="2:22" ht="25.5" customHeight="1">
      <c r="B185" s="137" t="s">
        <v>155</v>
      </c>
      <c r="C185" s="130"/>
      <c r="D185" s="38" t="s">
        <v>156</v>
      </c>
      <c r="E185" s="31"/>
      <c r="F185" s="319"/>
      <c r="G185" s="320"/>
      <c r="H185" s="320"/>
      <c r="I185" s="320"/>
      <c r="J185" s="320"/>
      <c r="K185" s="324" t="s">
        <v>245</v>
      </c>
      <c r="L185" s="324"/>
      <c r="M185" s="441" t="s">
        <v>246</v>
      </c>
      <c r="N185" s="281"/>
      <c r="O185" s="205"/>
      <c r="Q185" s="284"/>
      <c r="R185" s="284"/>
      <c r="S185" s="189"/>
      <c r="U185" s="180"/>
      <c r="V185" s="180"/>
    </row>
    <row r="186" spans="2:22" ht="25.5" customHeight="1">
      <c r="B186" s="134" t="s">
        <v>159</v>
      </c>
      <c r="C186" s="129"/>
      <c r="D186" s="30" t="s">
        <v>160</v>
      </c>
      <c r="E186" s="40"/>
      <c r="F186" s="316"/>
      <c r="G186" s="317"/>
      <c r="H186" s="317"/>
      <c r="I186" s="317"/>
      <c r="J186" s="317"/>
      <c r="K186" s="318" t="s">
        <v>302</v>
      </c>
      <c r="L186" s="318"/>
      <c r="M186" s="442" t="s">
        <v>303</v>
      </c>
      <c r="N186" s="281"/>
      <c r="O186" s="205"/>
      <c r="Q186" s="284"/>
      <c r="R186" s="284"/>
      <c r="S186" s="189"/>
      <c r="U186" s="180"/>
      <c r="V186" s="180"/>
    </row>
    <row r="187" spans="2:22" ht="25.5" customHeight="1">
      <c r="B187" s="106"/>
      <c r="C187" s="103"/>
      <c r="D187" s="397" t="s">
        <v>249</v>
      </c>
      <c r="E187" s="105"/>
      <c r="F187" s="330"/>
      <c r="G187" s="331"/>
      <c r="H187" s="331"/>
      <c r="I187" s="331"/>
      <c r="J187" s="331"/>
      <c r="K187" s="332"/>
      <c r="L187" s="332"/>
      <c r="M187" s="333"/>
      <c r="N187" s="281"/>
      <c r="O187" s="205"/>
      <c r="P187" s="284"/>
      <c r="Q187" s="284"/>
      <c r="R187" s="284"/>
      <c r="S187" s="189"/>
      <c r="U187" s="180"/>
      <c r="V187" s="180"/>
    </row>
    <row r="188" spans="2:22" ht="25.5" customHeight="1">
      <c r="B188" s="137"/>
      <c r="C188" s="130"/>
      <c r="D188" s="38"/>
      <c r="E188" s="31"/>
      <c r="F188" s="319"/>
      <c r="G188" s="320"/>
      <c r="H188" s="320"/>
      <c r="I188" s="320"/>
      <c r="J188" s="320"/>
      <c r="K188" s="324"/>
      <c r="L188" s="324"/>
      <c r="M188" s="543"/>
      <c r="N188" s="281"/>
      <c r="O188" s="205"/>
      <c r="P188" s="284"/>
      <c r="Q188" s="284"/>
      <c r="R188" s="284"/>
      <c r="S188" s="189"/>
      <c r="U188" s="180"/>
      <c r="V188" s="180"/>
    </row>
    <row r="189" spans="2:22" ht="25.5" customHeight="1">
      <c r="B189" s="416" t="s">
        <v>304</v>
      </c>
      <c r="C189" s="13"/>
      <c r="D189" s="13"/>
      <c r="F189" s="198"/>
      <c r="G189" s="198"/>
      <c r="H189" s="198"/>
      <c r="I189" s="198"/>
      <c r="J189" s="198"/>
      <c r="K189" s="328"/>
      <c r="L189" s="328"/>
      <c r="M189" s="161"/>
      <c r="N189" s="281"/>
      <c r="O189" s="205"/>
      <c r="Q189" s="284"/>
      <c r="R189" s="284"/>
      <c r="S189" s="189"/>
      <c r="U189" s="180"/>
      <c r="V189" s="180"/>
    </row>
    <row r="190" spans="2:22" ht="25.5" customHeight="1">
      <c r="B190" s="470" t="s">
        <v>208</v>
      </c>
      <c r="C190" s="23"/>
      <c r="D190" s="23" t="s">
        <v>276</v>
      </c>
      <c r="E190" s="132"/>
      <c r="F190" s="265"/>
      <c r="G190" s="537"/>
      <c r="H190" s="537"/>
      <c r="I190" s="537"/>
      <c r="J190" s="537"/>
      <c r="K190" s="314" t="s">
        <v>301</v>
      </c>
      <c r="L190" s="314"/>
      <c r="M190" s="537" t="s">
        <v>92</v>
      </c>
      <c r="N190" s="281"/>
      <c r="O190" s="205"/>
      <c r="Q190" s="284"/>
      <c r="R190" s="284"/>
      <c r="S190" s="189"/>
      <c r="U190" s="180"/>
      <c r="V190" s="180"/>
    </row>
    <row r="191" spans="2:22" ht="25.5" customHeight="1">
      <c r="B191" s="134" t="s">
        <v>165</v>
      </c>
      <c r="C191" s="129"/>
      <c r="D191" s="30" t="s">
        <v>166</v>
      </c>
      <c r="E191" s="40"/>
      <c r="F191" s="316"/>
      <c r="G191" s="317"/>
      <c r="H191" s="317"/>
      <c r="I191" s="317"/>
      <c r="J191" s="317"/>
      <c r="K191" s="318" t="s">
        <v>302</v>
      </c>
      <c r="L191" s="318"/>
      <c r="M191" s="432">
        <f>PS_consult.jun_SEK</f>
        <v>1127</v>
      </c>
      <c r="N191" s="281"/>
      <c r="O191" s="205"/>
      <c r="Q191" s="284"/>
      <c r="R191" s="284"/>
      <c r="S191" s="189"/>
      <c r="U191" s="180"/>
      <c r="V191" s="180"/>
    </row>
    <row r="192" spans="2:22" ht="25.5" customHeight="1">
      <c r="B192" s="137" t="s">
        <v>167</v>
      </c>
      <c r="C192" s="130"/>
      <c r="D192" s="38" t="s">
        <v>168</v>
      </c>
      <c r="E192" s="31"/>
      <c r="F192" s="319"/>
      <c r="G192" s="320"/>
      <c r="H192" s="320"/>
      <c r="I192" s="320"/>
      <c r="J192" s="320"/>
      <c r="K192" s="324" t="s">
        <v>302</v>
      </c>
      <c r="L192" s="324"/>
      <c r="M192" s="433">
        <f>PS_consult.sen_SEK</f>
        <v>1374</v>
      </c>
      <c r="N192" s="281"/>
      <c r="O192" s="205"/>
      <c r="Q192" s="284"/>
      <c r="R192" s="284"/>
      <c r="S192" s="189"/>
      <c r="U192" s="180"/>
      <c r="V192" s="180"/>
    </row>
    <row r="193" spans="1:22" ht="25.5" customHeight="1">
      <c r="B193" s="134" t="s">
        <v>169</v>
      </c>
      <c r="C193" s="129"/>
      <c r="D193" s="30" t="s">
        <v>170</v>
      </c>
      <c r="E193" s="40"/>
      <c r="F193" s="316"/>
      <c r="G193" s="317"/>
      <c r="H193" s="317"/>
      <c r="I193" s="317"/>
      <c r="J193" s="317"/>
      <c r="K193" s="318" t="s">
        <v>302</v>
      </c>
      <c r="L193" s="318"/>
      <c r="M193" s="432">
        <f>PS_cloudarch.jun_SEK</f>
        <v>1277</v>
      </c>
      <c r="N193" s="281"/>
      <c r="O193" s="205"/>
      <c r="Q193" s="284"/>
      <c r="R193" s="284"/>
      <c r="S193" s="189"/>
      <c r="U193" s="180"/>
      <c r="V193" s="180"/>
    </row>
    <row r="194" spans="1:22" ht="25.5" customHeight="1">
      <c r="B194" s="137" t="s">
        <v>171</v>
      </c>
      <c r="C194" s="130"/>
      <c r="D194" s="38" t="s">
        <v>172</v>
      </c>
      <c r="E194" s="38"/>
      <c r="F194" s="329"/>
      <c r="G194" s="320"/>
      <c r="H194" s="320"/>
      <c r="I194" s="320"/>
      <c r="J194" s="320"/>
      <c r="K194" s="324" t="s">
        <v>302</v>
      </c>
      <c r="L194" s="324"/>
      <c r="M194" s="433">
        <f>PS_cloudarch.sen_SEK</f>
        <v>1374</v>
      </c>
      <c r="N194" s="281"/>
      <c r="O194" s="205"/>
      <c r="Q194" s="284"/>
      <c r="R194" s="284"/>
      <c r="S194" s="189"/>
      <c r="U194" s="180"/>
      <c r="V194" s="180"/>
    </row>
    <row r="195" spans="1:22" ht="25.5" customHeight="1">
      <c r="B195" s="134" t="s">
        <v>173</v>
      </c>
      <c r="C195" s="129"/>
      <c r="D195" s="30" t="s">
        <v>174</v>
      </c>
      <c r="E195" s="40"/>
      <c r="F195" s="316"/>
      <c r="G195" s="317"/>
      <c r="H195" s="317"/>
      <c r="I195" s="317"/>
      <c r="J195" s="317"/>
      <c r="K195" s="318" t="s">
        <v>302</v>
      </c>
      <c r="L195" s="318"/>
      <c r="M195" s="432">
        <f>PS_pm.jun_SEK</f>
        <v>1139</v>
      </c>
      <c r="N195" s="281"/>
      <c r="O195" s="205"/>
      <c r="Q195" s="284"/>
      <c r="R195" s="284"/>
      <c r="S195" s="189"/>
      <c r="U195" s="180"/>
      <c r="V195" s="180"/>
    </row>
    <row r="196" spans="1:22" ht="25.5" customHeight="1">
      <c r="B196" s="137" t="s">
        <v>175</v>
      </c>
      <c r="C196" s="130"/>
      <c r="D196" s="38" t="s">
        <v>176</v>
      </c>
      <c r="E196" s="31"/>
      <c r="F196" s="319"/>
      <c r="G196" s="320"/>
      <c r="H196" s="320"/>
      <c r="I196" s="320"/>
      <c r="J196" s="320"/>
      <c r="K196" s="324" t="s">
        <v>302</v>
      </c>
      <c r="L196" s="324"/>
      <c r="M196" s="433">
        <f>PS_pm.sen_SEK</f>
        <v>1374</v>
      </c>
      <c r="N196" s="281"/>
      <c r="O196" s="205"/>
      <c r="Q196" s="284"/>
      <c r="R196" s="284"/>
      <c r="S196" s="189"/>
      <c r="U196" s="180"/>
      <c r="V196" s="180"/>
    </row>
    <row r="197" spans="1:22" ht="25.5" customHeight="1">
      <c r="B197" s="106"/>
      <c r="C197" s="103"/>
      <c r="D197" s="397"/>
      <c r="E197" s="105"/>
      <c r="F197" s="330"/>
      <c r="G197" s="331"/>
      <c r="H197" s="331"/>
      <c r="I197" s="331"/>
      <c r="J197" s="331"/>
      <c r="K197" s="332"/>
      <c r="L197" s="332"/>
      <c r="M197" s="333"/>
      <c r="N197" s="281"/>
      <c r="O197" s="205"/>
      <c r="P197" s="284"/>
      <c r="Q197" s="284"/>
      <c r="R197" s="284"/>
      <c r="S197" s="189"/>
      <c r="U197" s="180"/>
      <c r="V197" s="180"/>
    </row>
    <row r="198" spans="1:22" ht="25.5" customHeight="1">
      <c r="B198" s="130"/>
      <c r="C198" s="130"/>
      <c r="D198" s="38"/>
      <c r="E198" s="31"/>
      <c r="F198" s="319"/>
      <c r="G198" s="320"/>
      <c r="H198" s="320"/>
      <c r="I198" s="320"/>
      <c r="J198" s="320"/>
      <c r="K198" s="324"/>
      <c r="L198" s="324"/>
      <c r="M198" s="543"/>
      <c r="O198" s="205"/>
      <c r="Q198" s="191"/>
      <c r="R198" s="284"/>
      <c r="S198" s="189"/>
    </row>
    <row r="199" spans="1:22" ht="25.5" customHeight="1">
      <c r="B199" s="416" t="s">
        <v>305</v>
      </c>
      <c r="C199" s="13"/>
      <c r="D199" s="13"/>
      <c r="F199" s="198"/>
      <c r="G199" s="198"/>
      <c r="H199" s="198"/>
      <c r="I199" s="198"/>
      <c r="J199" s="198"/>
      <c r="K199" s="328"/>
      <c r="L199" s="328"/>
      <c r="M199" s="161"/>
      <c r="N199" s="281"/>
      <c r="O199" s="205"/>
      <c r="Q199" s="284"/>
      <c r="R199" s="284"/>
      <c r="S199" s="189"/>
      <c r="U199" s="180"/>
      <c r="V199" s="180"/>
    </row>
    <row r="200" spans="1:22" ht="25.5" customHeight="1">
      <c r="B200" s="470" t="s">
        <v>208</v>
      </c>
      <c r="C200" s="23"/>
      <c r="D200" s="23" t="s">
        <v>276</v>
      </c>
      <c r="E200" s="132"/>
      <c r="F200" s="265"/>
      <c r="G200" s="314" t="s">
        <v>306</v>
      </c>
      <c r="H200" s="314"/>
      <c r="I200" s="314"/>
      <c r="J200" s="314"/>
      <c r="K200" s="314" t="s">
        <v>301</v>
      </c>
      <c r="L200" s="314"/>
      <c r="M200" s="537" t="s">
        <v>92</v>
      </c>
      <c r="N200" s="281"/>
      <c r="O200" s="205"/>
      <c r="Q200" s="284"/>
      <c r="R200" s="284"/>
      <c r="S200" s="189"/>
      <c r="U200" s="180"/>
      <c r="V200" s="180"/>
    </row>
    <row r="201" spans="1:22" ht="25.5" customHeight="1">
      <c r="B201" s="134" t="s">
        <v>180</v>
      </c>
      <c r="C201" s="129"/>
      <c r="D201" s="30" t="s">
        <v>307</v>
      </c>
      <c r="E201" s="40"/>
      <c r="F201" s="316"/>
      <c r="G201" s="318" t="s">
        <v>254</v>
      </c>
      <c r="H201" s="318"/>
      <c r="I201" s="318"/>
      <c r="J201" s="318"/>
      <c r="K201" s="318" t="s">
        <v>308</v>
      </c>
      <c r="L201" s="318"/>
      <c r="M201" s="442" t="s">
        <v>309</v>
      </c>
      <c r="N201" s="281"/>
      <c r="O201" s="205"/>
      <c r="Q201" s="284"/>
      <c r="R201" s="284"/>
      <c r="S201" s="189"/>
      <c r="U201" s="180"/>
      <c r="V201" s="180"/>
    </row>
    <row r="202" spans="1:22" ht="25.5" customHeight="1">
      <c r="B202" s="137" t="s">
        <v>184</v>
      </c>
      <c r="C202" s="130"/>
      <c r="D202" s="38" t="s">
        <v>310</v>
      </c>
      <c r="E202" s="31"/>
      <c r="F202" s="319"/>
      <c r="G202" s="324" t="s">
        <v>254</v>
      </c>
      <c r="H202" s="324"/>
      <c r="I202" s="324"/>
      <c r="J202" s="324"/>
      <c r="K202" s="324" t="s">
        <v>308</v>
      </c>
      <c r="L202" s="324"/>
      <c r="M202" s="441" t="s">
        <v>309</v>
      </c>
      <c r="N202" s="281"/>
      <c r="O202" s="205"/>
      <c r="Q202" s="284"/>
      <c r="R202" s="284"/>
      <c r="S202" s="189"/>
      <c r="U202" s="180"/>
      <c r="V202" s="180"/>
    </row>
    <row r="203" spans="1:22" ht="25.5" customHeight="1">
      <c r="B203" s="134" t="s">
        <v>186</v>
      </c>
      <c r="C203" s="129"/>
      <c r="D203" s="30" t="s">
        <v>311</v>
      </c>
      <c r="E203" s="40"/>
      <c r="F203" s="316"/>
      <c r="G203" s="318" t="s">
        <v>258</v>
      </c>
      <c r="H203" s="318"/>
      <c r="I203" s="318"/>
      <c r="J203" s="318"/>
      <c r="K203" s="318" t="s">
        <v>308</v>
      </c>
      <c r="L203" s="318"/>
      <c r="M203" s="442" t="s">
        <v>309</v>
      </c>
      <c r="N203" s="281"/>
      <c r="O203" s="205"/>
      <c r="Q203" s="284"/>
      <c r="R203" s="284"/>
      <c r="S203" s="189"/>
      <c r="U203" s="180"/>
      <c r="V203" s="180"/>
    </row>
    <row r="204" spans="1:22" ht="25.5" customHeight="1">
      <c r="B204" s="137" t="s">
        <v>189</v>
      </c>
      <c r="C204" s="130"/>
      <c r="D204" s="38" t="s">
        <v>312</v>
      </c>
      <c r="E204" s="31"/>
      <c r="F204" s="319"/>
      <c r="G204" s="324" t="s">
        <v>258</v>
      </c>
      <c r="H204" s="324"/>
      <c r="I204" s="324"/>
      <c r="J204" s="324"/>
      <c r="K204" s="324" t="s">
        <v>308</v>
      </c>
      <c r="L204" s="324"/>
      <c r="M204" s="441" t="s">
        <v>309</v>
      </c>
      <c r="N204" s="281"/>
      <c r="O204" s="205"/>
      <c r="Q204" s="284"/>
      <c r="R204" s="284"/>
      <c r="S204" s="189"/>
      <c r="U204" s="180"/>
      <c r="V204" s="180"/>
    </row>
    <row r="205" spans="1:22" ht="25.5" customHeight="1">
      <c r="B205" s="103"/>
      <c r="C205" s="103"/>
      <c r="D205" s="397"/>
      <c r="E205" s="105"/>
      <c r="F205" s="330"/>
      <c r="G205" s="331"/>
      <c r="H205" s="331"/>
      <c r="I205" s="331"/>
      <c r="J205" s="331"/>
      <c r="K205" s="331"/>
      <c r="L205" s="331"/>
      <c r="M205" s="333"/>
      <c r="N205" s="281"/>
      <c r="O205" s="205"/>
      <c r="P205" s="284"/>
      <c r="Q205" s="284"/>
      <c r="R205" s="284"/>
      <c r="S205" s="189"/>
      <c r="U205" s="180"/>
      <c r="V205" s="180"/>
    </row>
    <row r="206" spans="1:22" ht="25.5" customHeight="1">
      <c r="B206" s="28"/>
      <c r="C206" s="26"/>
      <c r="D206" s="26"/>
      <c r="E206" s="26"/>
      <c r="F206" s="304"/>
      <c r="G206" s="305"/>
      <c r="H206" s="281"/>
      <c r="I206" s="281"/>
      <c r="J206" s="281"/>
      <c r="K206" s="306"/>
      <c r="L206" s="284"/>
      <c r="M206" s="284"/>
      <c r="N206" s="189"/>
      <c r="O206" s="205"/>
      <c r="P206" s="180"/>
      <c r="Q206" s="180"/>
    </row>
    <row r="207" spans="1:22" ht="25.5" customHeight="1">
      <c r="A207" s="336"/>
      <c r="B207" s="66"/>
      <c r="C207" s="60"/>
      <c r="D207" s="60"/>
      <c r="E207" s="60"/>
      <c r="F207" s="337"/>
      <c r="G207" s="338"/>
      <c r="H207" s="339"/>
      <c r="I207" s="339"/>
      <c r="J207" s="340"/>
      <c r="K207" s="341"/>
      <c r="L207" s="341"/>
      <c r="M207" s="341"/>
      <c r="N207" s="342"/>
      <c r="O207" s="205"/>
      <c r="P207" s="180"/>
      <c r="Q207" s="180"/>
    </row>
    <row r="208" spans="1:22" s="169" customFormat="1" ht="25.5" customHeight="1">
      <c r="A208" s="162"/>
      <c r="B208" s="54"/>
      <c r="C208" s="54"/>
      <c r="D208" s="54"/>
      <c r="E208" s="54"/>
      <c r="F208" s="343"/>
      <c r="G208" s="344"/>
      <c r="H208" s="345"/>
      <c r="I208" s="345"/>
      <c r="J208" s="346"/>
      <c r="K208" s="347"/>
      <c r="L208" s="347"/>
      <c r="M208" s="347"/>
      <c r="N208" s="162"/>
      <c r="O208" s="168"/>
    </row>
    <row r="209" spans="1:22" s="169" customFormat="1" ht="25.5" customHeight="1">
      <c r="A209" s="162"/>
      <c r="B209" s="54"/>
      <c r="C209" s="54"/>
      <c r="D209" s="54"/>
      <c r="E209" s="54"/>
      <c r="F209" s="343"/>
      <c r="G209" s="344"/>
      <c r="H209" s="345"/>
      <c r="I209" s="345"/>
      <c r="J209" s="346"/>
      <c r="K209" s="347"/>
      <c r="L209" s="347"/>
      <c r="M209" s="347"/>
      <c r="N209" s="162"/>
      <c r="O209" s="168"/>
    </row>
    <row r="210" spans="1:22" s="169" customFormat="1" ht="25.5" customHeight="1">
      <c r="A210" s="162"/>
      <c r="B210" s="54"/>
      <c r="C210" s="54"/>
      <c r="D210" s="54"/>
      <c r="E210" s="54"/>
      <c r="F210" s="343"/>
      <c r="G210" s="344"/>
      <c r="H210" s="345"/>
      <c r="I210" s="345"/>
      <c r="J210" s="346"/>
      <c r="K210" s="347"/>
      <c r="L210" s="347"/>
      <c r="M210" s="347"/>
      <c r="N210" s="162"/>
      <c r="O210" s="168"/>
    </row>
    <row r="211" spans="1:22" s="169" customFormat="1" ht="25.5" customHeight="1">
      <c r="A211" s="162"/>
      <c r="B211" s="997" t="s">
        <v>313</v>
      </c>
      <c r="C211" s="997"/>
      <c r="D211" s="997"/>
      <c r="E211" s="997"/>
      <c r="F211" s="997"/>
      <c r="G211" s="997"/>
      <c r="H211" s="165"/>
      <c r="I211" s="162"/>
      <c r="J211" s="166"/>
      <c r="K211" s="162"/>
      <c r="L211" s="167"/>
      <c r="M211" s="167"/>
      <c r="N211" s="162"/>
      <c r="O211" s="168"/>
    </row>
    <row r="212" spans="1:22" s="169" customFormat="1" ht="25.5" customHeight="1">
      <c r="A212" s="162"/>
      <c r="B212" s="997"/>
      <c r="C212" s="997"/>
      <c r="D212" s="997"/>
      <c r="E212" s="997"/>
      <c r="F212" s="997"/>
      <c r="G212" s="997"/>
      <c r="H212" s="165"/>
      <c r="I212" s="162"/>
      <c r="J212" s="166"/>
      <c r="K212" s="162"/>
      <c r="L212" s="167"/>
      <c r="M212" s="167"/>
      <c r="N212" s="162"/>
      <c r="O212" s="168"/>
    </row>
    <row r="213" spans="1:22" s="169" customFormat="1" ht="25.5" customHeight="1">
      <c r="A213" s="162"/>
      <c r="B213" s="997"/>
      <c r="C213" s="997"/>
      <c r="D213" s="997"/>
      <c r="E213" s="997"/>
      <c r="F213" s="997"/>
      <c r="G213" s="997"/>
      <c r="H213" s="165"/>
      <c r="I213" s="162"/>
      <c r="J213" s="166"/>
      <c r="K213" s="162"/>
      <c r="L213" s="167"/>
      <c r="M213" s="167"/>
      <c r="N213" s="162"/>
      <c r="O213" s="168"/>
    </row>
    <row r="214" spans="1:22" s="169" customFormat="1" ht="25.5" customHeight="1">
      <c r="A214" s="162"/>
      <c r="B214" s="1060" t="s">
        <v>314</v>
      </c>
      <c r="C214" s="1060"/>
      <c r="D214" s="1060"/>
      <c r="E214" s="1060"/>
      <c r="F214" s="1060"/>
      <c r="G214" s="162"/>
      <c r="H214" s="165"/>
      <c r="I214" s="162"/>
      <c r="J214" s="166"/>
      <c r="K214" s="162"/>
      <c r="L214" s="167"/>
      <c r="M214" s="167"/>
      <c r="N214" s="348"/>
      <c r="O214" s="187"/>
    </row>
    <row r="215" spans="1:22" s="169" customFormat="1" ht="25.5" customHeight="1">
      <c r="A215" s="162"/>
      <c r="B215" s="62"/>
      <c r="C215" s="62"/>
      <c r="D215" s="62"/>
      <c r="E215" s="62"/>
      <c r="F215" s="163"/>
      <c r="G215" s="162"/>
      <c r="H215" s="165"/>
      <c r="I215" s="162"/>
      <c r="J215" s="166"/>
      <c r="K215" s="162"/>
      <c r="L215" s="167"/>
      <c r="M215" s="167"/>
      <c r="N215" s="348"/>
      <c r="O215" s="187"/>
    </row>
    <row r="216" spans="1:22" s="169" customFormat="1" ht="25.5" customHeight="1">
      <c r="A216" s="162"/>
      <c r="B216" s="68" t="s">
        <v>315</v>
      </c>
      <c r="C216" s="62"/>
      <c r="D216" s="62"/>
      <c r="E216" s="62"/>
      <c r="F216" s="163"/>
      <c r="G216" s="162"/>
      <c r="H216" s="165"/>
      <c r="I216" s="162"/>
      <c r="J216" s="166"/>
      <c r="K216" s="162"/>
      <c r="L216" s="167"/>
      <c r="M216" s="167"/>
      <c r="N216" s="348"/>
      <c r="O216" s="187"/>
    </row>
    <row r="217" spans="1:22" s="169" customFormat="1" ht="25.5" customHeight="1">
      <c r="A217" s="162"/>
      <c r="B217" s="418" t="s">
        <v>441</v>
      </c>
      <c r="C217" s="62"/>
      <c r="D217" s="62"/>
      <c r="E217" s="62"/>
      <c r="F217" s="163"/>
      <c r="G217" s="162"/>
      <c r="H217" s="165"/>
      <c r="I217" s="162"/>
      <c r="J217" s="166"/>
      <c r="K217" s="162"/>
      <c r="L217" s="167"/>
      <c r="M217" s="167"/>
      <c r="N217" s="348"/>
      <c r="O217" s="187"/>
    </row>
    <row r="218" spans="1:22" s="169" customFormat="1" ht="25.5" customHeight="1">
      <c r="A218" s="162"/>
      <c r="B218" s="69" t="s">
        <v>193</v>
      </c>
      <c r="C218" s="67"/>
      <c r="D218" s="67"/>
      <c r="E218" s="67"/>
      <c r="F218" s="349"/>
      <c r="G218" s="348"/>
      <c r="H218" s="350"/>
      <c r="I218" s="348"/>
      <c r="J218" s="352"/>
      <c r="K218" s="348"/>
      <c r="L218" s="353"/>
      <c r="M218" s="353"/>
      <c r="N218" s="348"/>
      <c r="O218" s="187"/>
    </row>
    <row r="219" spans="1:22" s="242" customFormat="1" ht="25.5" customHeight="1">
      <c r="A219" s="354"/>
      <c r="B219" s="135"/>
      <c r="C219" s="135"/>
      <c r="D219" s="135"/>
      <c r="E219" s="135"/>
      <c r="F219" s="541"/>
      <c r="G219" s="348"/>
      <c r="H219" s="350"/>
      <c r="I219" s="348"/>
      <c r="J219" s="352"/>
      <c r="K219" s="348"/>
      <c r="L219" s="353"/>
      <c r="M219" s="353"/>
      <c r="N219" s="354"/>
      <c r="O219" s="296"/>
      <c r="P219" s="355"/>
      <c r="Q219" s="268"/>
      <c r="R219" s="268"/>
      <c r="S219" s="268"/>
      <c r="T219" s="268"/>
      <c r="U219" s="268"/>
      <c r="V219" s="268"/>
    </row>
    <row r="220" spans="1:22" ht="25.5" customHeight="1">
      <c r="A220" s="157"/>
      <c r="B220" s="55" t="s">
        <v>316</v>
      </c>
      <c r="C220" s="56"/>
      <c r="D220" s="57"/>
      <c r="E220" s="56"/>
      <c r="F220" s="357"/>
      <c r="G220" s="357"/>
      <c r="H220" s="357"/>
      <c r="I220" s="357"/>
      <c r="J220" s="356"/>
      <c r="K220" s="356"/>
      <c r="L220" s="357" t="s">
        <v>313</v>
      </c>
      <c r="M220" s="358"/>
      <c r="N220" s="359"/>
      <c r="O220" s="160"/>
      <c r="P220" s="313"/>
    </row>
    <row r="221" spans="1:22" ht="25.5" customHeight="1">
      <c r="A221" s="157"/>
      <c r="B221" s="549" t="s">
        <v>196</v>
      </c>
      <c r="C221" s="595" t="str">
        <f>SUM(C67+C38)&amp;" vCPU"</f>
        <v>0 vCPU</v>
      </c>
      <c r="D221" s="595" t="str">
        <f>SUM(D38+D67)&amp;" GB RAM"</f>
        <v>0 GB RAM</v>
      </c>
      <c r="E221" s="595" t="str">
        <f>SUM(E38)&amp;" GB  Disk"</f>
        <v>0 GB  Disk</v>
      </c>
      <c r="F221" s="1061" t="str">
        <f>SUM(E67)&amp;" GB NVME-Disk"</f>
        <v>0 GB NVME-Disk</v>
      </c>
      <c r="G221" s="1061"/>
      <c r="H221" s="361"/>
      <c r="I221" s="361"/>
      <c r="J221" s="362"/>
      <c r="K221" s="362"/>
      <c r="L221" s="363">
        <f>L76+L84+K67+K38+K91</f>
        <v>0</v>
      </c>
      <c r="M221" s="274"/>
      <c r="N221" s="157"/>
      <c r="O221" s="160"/>
      <c r="P221" s="313"/>
    </row>
    <row r="222" spans="1:22" ht="25.5" customHeight="1">
      <c r="A222" s="157"/>
      <c r="B222" s="550" t="s">
        <v>197</v>
      </c>
      <c r="C222" s="550"/>
      <c r="D222" s="72"/>
      <c r="E222" s="73"/>
      <c r="F222" s="364"/>
      <c r="G222" s="365"/>
      <c r="H222" s="365"/>
      <c r="I222" s="365"/>
      <c r="J222" s="366"/>
      <c r="K222" s="366"/>
      <c r="L222" s="367">
        <f>M112</f>
        <v>0</v>
      </c>
      <c r="M222" s="274"/>
      <c r="N222" s="157"/>
      <c r="O222" s="160"/>
      <c r="P222" s="313"/>
    </row>
    <row r="223" spans="1:22" ht="25.5" customHeight="1">
      <c r="A223" s="157"/>
      <c r="B223" s="136" t="s">
        <v>198</v>
      </c>
      <c r="C223" s="136"/>
      <c r="D223" s="72"/>
      <c r="E223" s="73"/>
      <c r="F223" s="364"/>
      <c r="G223" s="365"/>
      <c r="H223" s="365"/>
      <c r="I223" s="365"/>
      <c r="J223" s="366"/>
      <c r="K223" s="366"/>
      <c r="L223" s="367">
        <f>M127</f>
        <v>0</v>
      </c>
      <c r="M223" s="274"/>
      <c r="N223" s="157"/>
      <c r="O223" s="160"/>
      <c r="P223" s="313"/>
    </row>
    <row r="224" spans="1:22" s="370" customFormat="1" ht="25.5" customHeight="1">
      <c r="A224" s="368"/>
      <c r="B224" s="476"/>
      <c r="C224" s="476"/>
      <c r="D224" s="33"/>
      <c r="E224" s="34"/>
      <c r="F224" s="311"/>
      <c r="G224" s="544"/>
      <c r="H224" s="544"/>
      <c r="I224" s="544"/>
      <c r="J224" s="299"/>
      <c r="K224" s="299"/>
      <c r="L224" s="301"/>
      <c r="M224" s="274"/>
      <c r="N224" s="368"/>
      <c r="O224" s="369"/>
    </row>
    <row r="225" spans="1:23" ht="25.5" customHeight="1">
      <c r="A225" s="157"/>
      <c r="B225" s="58" t="s">
        <v>85</v>
      </c>
      <c r="C225" s="59"/>
      <c r="D225" s="59"/>
      <c r="E225" s="59"/>
      <c r="F225" s="371"/>
      <c r="G225" s="372"/>
      <c r="H225" s="372"/>
      <c r="I225" s="372"/>
      <c r="J225" s="559"/>
      <c r="K225" s="559"/>
      <c r="L225" s="559">
        <f t="shared" ref="L225" si="15">SUM(O221:O224)</f>
        <v>0</v>
      </c>
      <c r="M225" s="373"/>
      <c r="N225" s="157"/>
      <c r="O225" s="160"/>
    </row>
    <row r="226" spans="1:23" ht="25.5" customHeight="1">
      <c r="A226" s="157"/>
      <c r="B226" s="58"/>
      <c r="C226" s="59"/>
      <c r="D226" s="59"/>
      <c r="E226" s="59"/>
      <c r="F226" s="371"/>
      <c r="G226" s="372"/>
      <c r="H226" s="372"/>
      <c r="I226" s="372"/>
      <c r="J226" s="373"/>
      <c r="K226" s="373"/>
      <c r="L226" s="373"/>
      <c r="M226" s="373"/>
      <c r="N226" s="157"/>
      <c r="O226" s="160"/>
    </row>
    <row r="227" spans="1:23" ht="25.5" customHeight="1">
      <c r="A227" s="157"/>
      <c r="B227" s="30"/>
      <c r="C227" s="30"/>
      <c r="D227" s="36"/>
      <c r="E227" s="37"/>
      <c r="F227" s="317"/>
      <c r="G227" s="542"/>
      <c r="H227" s="316"/>
      <c r="I227" s="272"/>
      <c r="J227" s="272"/>
      <c r="K227" s="375"/>
      <c r="L227" s="274"/>
      <c r="M227" s="274"/>
      <c r="N227" s="157"/>
      <c r="O227" s="160"/>
    </row>
    <row r="228" spans="1:23" ht="25.5" customHeight="1">
      <c r="A228" s="376"/>
      <c r="B228" s="42"/>
      <c r="C228" s="42"/>
      <c r="D228" s="33"/>
      <c r="E228" s="34"/>
      <c r="F228" s="378"/>
      <c r="G228" s="544"/>
      <c r="H228" s="377"/>
      <c r="I228" s="299"/>
      <c r="J228" s="299"/>
      <c r="K228" s="380"/>
      <c r="L228" s="301"/>
      <c r="M228" s="301"/>
      <c r="N228" s="381"/>
      <c r="O228" s="160"/>
    </row>
    <row r="229" spans="1:23" s="382" customFormat="1" ht="24" customHeight="1">
      <c r="B229" s="108"/>
      <c r="C229" s="108"/>
      <c r="D229" s="109"/>
      <c r="E229" s="110"/>
      <c r="F229" s="384"/>
      <c r="G229" s="385"/>
      <c r="H229" s="383"/>
      <c r="I229" s="386"/>
      <c r="J229" s="386"/>
      <c r="K229" s="388"/>
      <c r="L229" s="389"/>
      <c r="M229" s="389"/>
    </row>
    <row r="230" spans="1:23" s="382" customFormat="1" ht="24" customHeight="1">
      <c r="B230" s="108"/>
      <c r="C230" s="108"/>
      <c r="D230" s="108"/>
      <c r="E230" s="108"/>
      <c r="F230" s="390"/>
      <c r="G230" s="391"/>
      <c r="H230" s="392"/>
      <c r="I230" s="392"/>
      <c r="J230" s="392"/>
      <c r="K230" s="393"/>
      <c r="L230" s="389"/>
      <c r="M230" s="389"/>
      <c r="N230" s="389"/>
    </row>
    <row r="231" spans="1:23" s="382" customFormat="1" ht="24" customHeight="1">
      <c r="B231" s="108"/>
      <c r="C231" s="108"/>
      <c r="D231" s="108"/>
      <c r="E231" s="108"/>
      <c r="F231" s="390"/>
      <c r="G231" s="391"/>
      <c r="H231" s="392"/>
      <c r="I231" s="392"/>
      <c r="J231" s="392"/>
      <c r="K231" s="393"/>
      <c r="L231" s="389"/>
      <c r="M231" s="389"/>
      <c r="N231" s="389"/>
    </row>
    <row r="232" spans="1:23" s="382" customFormat="1" ht="24" customHeight="1">
      <c r="B232" s="108"/>
      <c r="C232" s="108"/>
      <c r="D232" s="108"/>
      <c r="E232" s="108"/>
      <c r="F232" s="390"/>
      <c r="G232" s="391"/>
      <c r="H232" s="392"/>
      <c r="I232" s="392"/>
      <c r="J232" s="392"/>
      <c r="K232" s="393"/>
      <c r="L232" s="389"/>
      <c r="M232" s="389"/>
      <c r="N232" s="389"/>
    </row>
    <row r="233" spans="1:23" s="382" customFormat="1" ht="24" customHeight="1">
      <c r="B233" s="108"/>
      <c r="C233" s="108"/>
      <c r="D233" s="108"/>
      <c r="E233" s="108"/>
      <c r="F233" s="390"/>
      <c r="G233" s="391"/>
      <c r="H233" s="392"/>
      <c r="I233" s="392"/>
      <c r="J233" s="392"/>
      <c r="K233" s="393"/>
      <c r="L233" s="389"/>
      <c r="M233" s="389"/>
      <c r="N233" s="389"/>
    </row>
    <row r="234" spans="1:23" s="382" customFormat="1" ht="24" customHeight="1">
      <c r="B234" s="108"/>
      <c r="C234" s="108"/>
      <c r="D234" s="108"/>
      <c r="E234" s="108"/>
      <c r="F234" s="390"/>
      <c r="G234" s="391"/>
      <c r="H234" s="392"/>
      <c r="I234" s="392"/>
      <c r="J234" s="392"/>
      <c r="K234" s="393"/>
      <c r="L234" s="389"/>
      <c r="M234" s="389"/>
      <c r="N234" s="389"/>
    </row>
    <row r="235" spans="1:23" s="382" customFormat="1" ht="24" customHeight="1">
      <c r="B235" s="108"/>
      <c r="C235" s="108"/>
      <c r="D235" s="108"/>
      <c r="E235" s="108"/>
      <c r="F235" s="390"/>
      <c r="G235" s="391"/>
      <c r="H235" s="392"/>
      <c r="I235" s="392"/>
      <c r="J235" s="392"/>
      <c r="K235" s="393"/>
      <c r="L235" s="389"/>
      <c r="M235" s="389"/>
      <c r="N235" s="389"/>
    </row>
    <row r="236" spans="1:23" s="382" customFormat="1" ht="24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389"/>
      <c r="N236" s="389"/>
    </row>
    <row r="237" spans="1:23" s="382" customFormat="1" ht="24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389"/>
      <c r="N237" s="389"/>
    </row>
    <row r="238" spans="1:23" s="382" customFormat="1" ht="24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389"/>
      <c r="N238" s="389"/>
    </row>
    <row r="239" spans="1:23" s="394" customFormat="1" ht="24" customHeight="1">
      <c r="A239" s="382"/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389"/>
      <c r="N239" s="389"/>
      <c r="O239" s="382"/>
      <c r="P239" s="382"/>
      <c r="Q239" s="382"/>
      <c r="R239" s="382"/>
      <c r="S239" s="382"/>
      <c r="T239" s="382"/>
      <c r="U239" s="382"/>
      <c r="V239" s="382"/>
      <c r="W239" s="382"/>
    </row>
    <row r="240" spans="1:23" s="382" customFormat="1" ht="24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389"/>
      <c r="N240" s="389"/>
    </row>
    <row r="241" spans="2:14" s="382" customFormat="1" ht="24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389"/>
      <c r="N241" s="389"/>
    </row>
    <row r="242" spans="2:14" s="382" customFormat="1" ht="24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389"/>
      <c r="N242" s="389"/>
    </row>
    <row r="243" spans="2:14" s="382" customFormat="1" ht="24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389"/>
      <c r="N243" s="389"/>
    </row>
    <row r="244" spans="2:14" s="382" customFormat="1" ht="24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389"/>
      <c r="N244" s="389"/>
    </row>
    <row r="245" spans="2:14" s="382" customFormat="1" ht="24" customHeight="1"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389"/>
      <c r="N245" s="389"/>
    </row>
    <row r="246" spans="2:14" s="382" customFormat="1" ht="24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389"/>
      <c r="N246" s="389"/>
    </row>
    <row r="247" spans="2:14" s="382" customFormat="1" ht="24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389"/>
      <c r="N247" s="389"/>
    </row>
    <row r="248" spans="2:14" s="382" customFormat="1" ht="24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389"/>
      <c r="N248" s="389"/>
    </row>
    <row r="249" spans="2:14" s="382" customFormat="1" ht="24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389"/>
      <c r="N249" s="389"/>
    </row>
    <row r="250" spans="2:14" s="382" customFormat="1" ht="24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389"/>
      <c r="N250" s="389"/>
    </row>
    <row r="251" spans="2:14" s="382" customFormat="1" ht="24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389"/>
      <c r="N251" s="389"/>
    </row>
    <row r="252" spans="2:14" s="382" customFormat="1" ht="24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389"/>
      <c r="N252" s="389"/>
    </row>
    <row r="253" spans="2:14" s="382" customFormat="1" ht="24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389"/>
      <c r="N253" s="389"/>
    </row>
    <row r="254" spans="2:14" s="382" customFormat="1" ht="25.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389"/>
      <c r="N254" s="389"/>
    </row>
    <row r="255" spans="2:14" s="382" customFormat="1" ht="25.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389"/>
      <c r="N255" s="389"/>
    </row>
    <row r="256" spans="2:14" s="382" customFormat="1" ht="25.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389"/>
      <c r="N256" s="389"/>
    </row>
    <row r="257" spans="2:14" s="382" customFormat="1" ht="25.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389"/>
      <c r="N257" s="389"/>
    </row>
    <row r="258" spans="2:14" s="382" customFormat="1" ht="25.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389"/>
      <c r="N258" s="389"/>
    </row>
    <row r="259" spans="2:14" s="382" customFormat="1" ht="25.5" customHeight="1">
      <c r="B259" s="111"/>
      <c r="C259" s="112"/>
      <c r="D259" s="112"/>
      <c r="E259" s="112"/>
      <c r="K259" s="393"/>
      <c r="M259" s="395"/>
    </row>
    <row r="260" spans="2:14" s="382" customFormat="1" ht="25.5" customHeight="1">
      <c r="B260" s="111"/>
      <c r="C260" s="112"/>
      <c r="D260" s="112"/>
      <c r="E260" s="112"/>
      <c r="K260" s="393"/>
      <c r="M260" s="395"/>
    </row>
    <row r="261" spans="2:14" s="382" customFormat="1" ht="25.5" customHeight="1">
      <c r="B261" s="111"/>
      <c r="C261" s="112"/>
      <c r="D261" s="112"/>
      <c r="E261" s="112"/>
      <c r="K261" s="393"/>
      <c r="M261" s="395"/>
    </row>
    <row r="262" spans="2:14" s="382" customFormat="1" ht="25.5" customHeight="1">
      <c r="B262" s="111"/>
      <c r="C262" s="112"/>
      <c r="D262" s="112"/>
      <c r="E262" s="112"/>
      <c r="K262" s="393"/>
      <c r="M262" s="395"/>
    </row>
    <row r="263" spans="2:14" s="382" customFormat="1" ht="25.5" customHeight="1">
      <c r="B263" s="111"/>
      <c r="C263" s="112"/>
      <c r="D263" s="112"/>
      <c r="E263" s="112"/>
      <c r="K263" s="393"/>
      <c r="M263" s="395"/>
    </row>
    <row r="264" spans="2:14" s="382" customFormat="1" ht="25.5" customHeight="1">
      <c r="B264" s="111"/>
      <c r="C264" s="112"/>
      <c r="D264" s="112"/>
      <c r="E264" s="112"/>
      <c r="K264" s="393"/>
      <c r="M264" s="395"/>
    </row>
    <row r="265" spans="2:14" s="382" customFormat="1" ht="25.5" customHeight="1">
      <c r="B265" s="111"/>
      <c r="C265" s="112"/>
      <c r="D265" s="112"/>
      <c r="E265" s="112"/>
      <c r="K265" s="393"/>
      <c r="M265" s="395"/>
    </row>
    <row r="266" spans="2:14" s="382" customFormat="1" ht="25.5" customHeight="1">
      <c r="B266" s="111"/>
      <c r="C266" s="112"/>
      <c r="D266" s="112"/>
      <c r="E266" s="112"/>
      <c r="K266" s="393"/>
      <c r="M266" s="395"/>
    </row>
    <row r="267" spans="2:14" s="382" customFormat="1" ht="25.5" customHeight="1">
      <c r="B267" s="111"/>
      <c r="C267" s="112"/>
      <c r="D267" s="112"/>
      <c r="E267" s="112"/>
      <c r="K267" s="393"/>
      <c r="M267" s="395"/>
    </row>
    <row r="268" spans="2:14" s="382" customFormat="1" ht="25.5" customHeight="1">
      <c r="B268" s="111"/>
      <c r="C268" s="112"/>
      <c r="D268" s="112"/>
      <c r="E268" s="112"/>
      <c r="K268" s="393"/>
      <c r="M268" s="395"/>
    </row>
    <row r="269" spans="2:14" s="382" customFormat="1" ht="25.5" customHeight="1">
      <c r="B269" s="111"/>
      <c r="C269" s="112"/>
      <c r="D269" s="112"/>
      <c r="E269" s="112"/>
      <c r="K269" s="393"/>
      <c r="M269" s="395"/>
    </row>
    <row r="270" spans="2:14" s="382" customFormat="1" ht="25.5" customHeight="1">
      <c r="B270" s="111"/>
      <c r="C270" s="112"/>
      <c r="D270" s="112"/>
      <c r="E270" s="112"/>
      <c r="K270" s="393"/>
      <c r="M270" s="395"/>
    </row>
    <row r="271" spans="2:14" s="382" customFormat="1" ht="25.5" customHeight="1">
      <c r="B271" s="111"/>
      <c r="C271" s="112"/>
      <c r="D271" s="112"/>
      <c r="E271" s="112"/>
      <c r="K271" s="393"/>
      <c r="M271" s="395"/>
    </row>
    <row r="272" spans="2:14" s="382" customFormat="1" ht="25.5" customHeight="1">
      <c r="B272" s="111"/>
      <c r="C272" s="112"/>
      <c r="D272" s="112"/>
      <c r="E272" s="112"/>
      <c r="K272" s="393"/>
      <c r="M272" s="395"/>
    </row>
    <row r="273" spans="2:13" s="382" customFormat="1" ht="25.5" customHeight="1">
      <c r="B273" s="111"/>
      <c r="C273" s="112"/>
      <c r="D273" s="112"/>
      <c r="E273" s="112"/>
      <c r="K273" s="393"/>
      <c r="M273" s="395"/>
    </row>
    <row r="274" spans="2:13" s="382" customFormat="1" ht="25.5" customHeight="1">
      <c r="B274" s="111"/>
      <c r="C274" s="112"/>
      <c r="D274" s="112"/>
      <c r="E274" s="112"/>
      <c r="K274" s="393"/>
      <c r="M274" s="395"/>
    </row>
    <row r="275" spans="2:13" s="382" customFormat="1" ht="25.5" customHeight="1">
      <c r="B275" s="111"/>
      <c r="C275" s="112"/>
      <c r="D275" s="112"/>
      <c r="E275" s="112"/>
      <c r="K275" s="393"/>
      <c r="M275" s="395"/>
    </row>
    <row r="276" spans="2:13" s="382" customFormat="1" ht="25.5" customHeight="1">
      <c r="B276" s="111"/>
      <c r="C276" s="112"/>
      <c r="D276" s="112"/>
      <c r="E276" s="112"/>
      <c r="K276" s="393"/>
      <c r="M276" s="395"/>
    </row>
    <row r="277" spans="2:13" s="382" customFormat="1" ht="25.5" customHeight="1">
      <c r="B277" s="111"/>
      <c r="C277" s="112"/>
      <c r="D277" s="112"/>
      <c r="E277" s="112"/>
      <c r="K277" s="393"/>
      <c r="M277" s="395"/>
    </row>
    <row r="278" spans="2:13" s="382" customFormat="1" ht="25.5" customHeight="1">
      <c r="B278" s="111"/>
      <c r="C278" s="112"/>
      <c r="D278" s="112"/>
      <c r="E278" s="112"/>
      <c r="K278" s="393"/>
      <c r="M278" s="395"/>
    </row>
    <row r="279" spans="2:13" s="382" customFormat="1" ht="25.5" customHeight="1">
      <c r="B279" s="111"/>
      <c r="C279" s="112"/>
      <c r="D279" s="112"/>
      <c r="E279" s="112"/>
      <c r="K279" s="393"/>
      <c r="M279" s="395"/>
    </row>
    <row r="280" spans="2:13" s="382" customFormat="1" ht="25.5" customHeight="1">
      <c r="B280" s="111"/>
      <c r="C280" s="112"/>
      <c r="D280" s="112"/>
      <c r="E280" s="112"/>
      <c r="K280" s="393"/>
      <c r="M280" s="395"/>
    </row>
    <row r="281" spans="2:13" s="382" customFormat="1" ht="25.5" customHeight="1">
      <c r="B281" s="111"/>
      <c r="C281" s="112"/>
      <c r="D281" s="112"/>
      <c r="E281" s="112"/>
      <c r="K281" s="393"/>
      <c r="M281" s="395"/>
    </row>
    <row r="282" spans="2:13" s="382" customFormat="1" ht="25.5" customHeight="1">
      <c r="B282" s="111"/>
      <c r="C282" s="112"/>
      <c r="D282" s="112"/>
      <c r="E282" s="112"/>
      <c r="K282" s="393"/>
      <c r="M282" s="395"/>
    </row>
    <row r="283" spans="2:13" s="382" customFormat="1" ht="25.5" customHeight="1">
      <c r="B283" s="111"/>
      <c r="C283" s="112"/>
      <c r="D283" s="112"/>
      <c r="E283" s="112"/>
      <c r="K283" s="393"/>
      <c r="M283" s="395"/>
    </row>
    <row r="284" spans="2:13" s="382" customFormat="1" ht="25.5" customHeight="1">
      <c r="B284" s="111"/>
      <c r="C284" s="112"/>
      <c r="D284" s="112"/>
      <c r="E284" s="112"/>
      <c r="K284" s="393"/>
      <c r="M284" s="395"/>
    </row>
    <row r="285" spans="2:13" s="382" customFormat="1" ht="25.5" customHeight="1">
      <c r="B285" s="111"/>
      <c r="C285" s="112"/>
      <c r="D285" s="112"/>
      <c r="E285" s="112"/>
      <c r="K285" s="393"/>
      <c r="M285" s="395"/>
    </row>
    <row r="286" spans="2:13" s="382" customFormat="1" ht="25.5" customHeight="1">
      <c r="B286" s="111"/>
      <c r="C286" s="112"/>
      <c r="D286" s="112"/>
      <c r="E286" s="112"/>
      <c r="K286" s="393"/>
      <c r="M286" s="395"/>
    </row>
    <row r="287" spans="2:13" s="382" customFormat="1" ht="25.5" customHeight="1">
      <c r="B287" s="111"/>
      <c r="C287" s="112"/>
      <c r="D287" s="112"/>
      <c r="E287" s="112"/>
      <c r="K287" s="393"/>
      <c r="M287" s="395"/>
    </row>
    <row r="288" spans="2:13" s="382" customFormat="1" ht="25.5" customHeight="1">
      <c r="B288" s="111"/>
      <c r="C288" s="112"/>
      <c r="D288" s="112"/>
      <c r="E288" s="112"/>
      <c r="K288" s="393"/>
      <c r="M288" s="395"/>
    </row>
    <row r="289" spans="2:13" s="382" customFormat="1" ht="25.5" customHeight="1">
      <c r="B289" s="111"/>
      <c r="C289" s="112"/>
      <c r="D289" s="112"/>
      <c r="E289" s="112"/>
      <c r="K289" s="393"/>
      <c r="M289" s="395"/>
    </row>
    <row r="290" spans="2:13" s="382" customFormat="1" ht="25.5" customHeight="1">
      <c r="B290" s="111"/>
      <c r="C290" s="112"/>
      <c r="D290" s="112"/>
      <c r="E290" s="112"/>
      <c r="K290" s="393"/>
      <c r="M290" s="395"/>
    </row>
    <row r="291" spans="2:13" s="382" customFormat="1" ht="25.5" customHeight="1">
      <c r="B291" s="111"/>
      <c r="C291" s="112"/>
      <c r="D291" s="112"/>
      <c r="E291" s="112"/>
      <c r="K291" s="393"/>
      <c r="M291" s="395"/>
    </row>
    <row r="292" spans="2:13" s="382" customFormat="1" ht="25.5" customHeight="1">
      <c r="B292" s="111"/>
      <c r="C292" s="112"/>
      <c r="D292" s="112"/>
      <c r="E292" s="112"/>
      <c r="K292" s="393"/>
      <c r="M292" s="395"/>
    </row>
    <row r="293" spans="2:13" s="382" customFormat="1" ht="25.5" customHeight="1">
      <c r="B293" s="111"/>
      <c r="C293" s="112"/>
      <c r="D293" s="112"/>
      <c r="E293" s="112"/>
      <c r="K293" s="393"/>
      <c r="M293" s="395"/>
    </row>
    <row r="294" spans="2:13" s="382" customFormat="1" ht="25.5" customHeight="1">
      <c r="B294" s="111"/>
      <c r="C294" s="112"/>
      <c r="D294" s="112"/>
      <c r="E294" s="112"/>
      <c r="K294" s="393"/>
      <c r="M294" s="395"/>
    </row>
    <row r="295" spans="2:13" s="382" customFormat="1" ht="25.5" customHeight="1">
      <c r="B295" s="111"/>
      <c r="C295" s="112"/>
      <c r="D295" s="112"/>
      <c r="E295" s="112"/>
      <c r="K295" s="393"/>
      <c r="M295" s="395"/>
    </row>
    <row r="296" spans="2:13" s="382" customFormat="1" ht="25.5" customHeight="1">
      <c r="B296" s="111"/>
      <c r="C296" s="112"/>
      <c r="D296" s="112"/>
      <c r="E296" s="112"/>
      <c r="K296" s="393"/>
      <c r="M296" s="395"/>
    </row>
    <row r="297" spans="2:13" s="382" customFormat="1" ht="25.5" customHeight="1">
      <c r="B297" s="111"/>
      <c r="C297" s="112"/>
      <c r="D297" s="112"/>
      <c r="E297" s="112"/>
      <c r="K297" s="393"/>
      <c r="M297" s="395"/>
    </row>
    <row r="298" spans="2:13" s="382" customFormat="1" ht="25.5" customHeight="1">
      <c r="B298" s="111"/>
      <c r="C298" s="112"/>
      <c r="D298" s="112"/>
      <c r="E298" s="112"/>
      <c r="K298" s="393"/>
      <c r="M298" s="395"/>
    </row>
    <row r="299" spans="2:13" s="382" customFormat="1" ht="25.5" customHeight="1">
      <c r="B299" s="111"/>
      <c r="C299" s="112"/>
      <c r="D299" s="112"/>
      <c r="E299" s="112"/>
      <c r="K299" s="393"/>
      <c r="M299" s="395"/>
    </row>
    <row r="300" spans="2:13" s="382" customFormat="1" ht="25.5" customHeight="1">
      <c r="B300" s="111"/>
      <c r="C300" s="112"/>
      <c r="D300" s="112"/>
      <c r="E300" s="112"/>
      <c r="K300" s="393"/>
      <c r="M300" s="395"/>
    </row>
    <row r="301" spans="2:13" s="382" customFormat="1" ht="25.5" customHeight="1">
      <c r="B301" s="111"/>
      <c r="C301" s="112"/>
      <c r="D301" s="112"/>
      <c r="E301" s="112"/>
      <c r="K301" s="393"/>
      <c r="M301" s="395"/>
    </row>
    <row r="302" spans="2:13" s="382" customFormat="1" ht="25.5" customHeight="1">
      <c r="B302" s="111"/>
      <c r="C302" s="112"/>
      <c r="D302" s="112"/>
      <c r="E302" s="112"/>
      <c r="K302" s="393"/>
      <c r="M302" s="395"/>
    </row>
    <row r="303" spans="2:13" s="382" customFormat="1" ht="25.5" customHeight="1">
      <c r="B303" s="111"/>
      <c r="C303" s="112"/>
      <c r="D303" s="112"/>
      <c r="E303" s="112"/>
      <c r="K303" s="393"/>
      <c r="M303" s="395"/>
    </row>
    <row r="304" spans="2:13" s="382" customFormat="1" ht="25.5" customHeight="1">
      <c r="B304" s="111"/>
      <c r="C304" s="112"/>
      <c r="D304" s="112"/>
      <c r="E304" s="112"/>
      <c r="K304" s="393"/>
      <c r="M304" s="395"/>
    </row>
    <row r="305" spans="2:13" s="382" customFormat="1" ht="25.5" customHeight="1">
      <c r="B305" s="111"/>
      <c r="C305" s="112"/>
      <c r="D305" s="112"/>
      <c r="E305" s="112"/>
      <c r="K305" s="393"/>
      <c r="M305" s="395"/>
    </row>
    <row r="306" spans="2:13" s="382" customFormat="1" ht="25.5" customHeight="1">
      <c r="B306" s="111"/>
      <c r="C306" s="112"/>
      <c r="D306" s="112"/>
      <c r="E306" s="112"/>
      <c r="K306" s="393"/>
      <c r="M306" s="395"/>
    </row>
    <row r="307" spans="2:13" s="382" customFormat="1" ht="25.5" customHeight="1">
      <c r="B307" s="111"/>
      <c r="C307" s="112"/>
      <c r="D307" s="112"/>
      <c r="E307" s="112"/>
      <c r="K307" s="393"/>
      <c r="M307" s="395"/>
    </row>
    <row r="308" spans="2:13" s="382" customFormat="1" ht="25.5" customHeight="1">
      <c r="B308" s="111"/>
      <c r="C308" s="112"/>
      <c r="D308" s="112"/>
      <c r="E308" s="112"/>
      <c r="K308" s="393"/>
      <c r="M308" s="395"/>
    </row>
    <row r="309" spans="2:13" s="382" customFormat="1" ht="25.5" customHeight="1">
      <c r="B309" s="111"/>
      <c r="C309" s="112"/>
      <c r="D309" s="112"/>
      <c r="E309" s="112"/>
      <c r="K309" s="393"/>
      <c r="M309" s="395"/>
    </row>
    <row r="321" spans="2:4" ht="25.5" customHeight="1">
      <c r="B321" s="38"/>
      <c r="C321" s="38"/>
      <c r="D321" s="96"/>
    </row>
  </sheetData>
  <sheetProtection selectLockedCells="1"/>
  <mergeCells count="55">
    <mergeCell ref="F89:G89"/>
    <mergeCell ref="B4:C4"/>
    <mergeCell ref="B15:G17"/>
    <mergeCell ref="B19:F19"/>
    <mergeCell ref="F88:G88"/>
    <mergeCell ref="D11:F11"/>
    <mergeCell ref="H102:I102"/>
    <mergeCell ref="J102:K102"/>
    <mergeCell ref="D103:E103"/>
    <mergeCell ref="F103:G103"/>
    <mergeCell ref="H103:I103"/>
    <mergeCell ref="J103:K103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5:I105"/>
    <mergeCell ref="J105:K105"/>
    <mergeCell ref="D104:E104"/>
    <mergeCell ref="F104:G104"/>
    <mergeCell ref="H104:I104"/>
    <mergeCell ref="J104:K104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F124:G124"/>
    <mergeCell ref="J124:K124"/>
    <mergeCell ref="F125:G125"/>
    <mergeCell ref="J125:K125"/>
    <mergeCell ref="F126:G126"/>
    <mergeCell ref="J126:K126"/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</mergeCells>
  <conditionalFormatting sqref="K25:K35 K41 L69:M70 K68">
    <cfRule type="cellIs" dxfId="89" priority="44" operator="greaterThan">
      <formula>0</formula>
    </cfRule>
  </conditionalFormatting>
  <conditionalFormatting sqref="H124 H111 I89:I90 I25:I35 I72:J75">
    <cfRule type="cellIs" dxfId="88" priority="43" operator="greaterThan">
      <formula>0</formula>
    </cfRule>
  </conditionalFormatting>
  <conditionalFormatting sqref="I90">
    <cfRule type="cellIs" dxfId="87" priority="42" operator="greaterThan">
      <formula>0</formula>
    </cfRule>
  </conditionalFormatting>
  <conditionalFormatting sqref="I89">
    <cfRule type="cellIs" dxfId="86" priority="41" operator="greaterThan">
      <formula>0</formula>
    </cfRule>
  </conditionalFormatting>
  <conditionalFormatting sqref="H111">
    <cfRule type="cellIs" dxfId="85" priority="40" operator="greaterThan">
      <formula>0</formula>
    </cfRule>
  </conditionalFormatting>
  <conditionalFormatting sqref="H126 J126">
    <cfRule type="cellIs" dxfId="84" priority="38" operator="greaterThan">
      <formula>0</formula>
    </cfRule>
  </conditionalFormatting>
  <conditionalFormatting sqref="J126">
    <cfRule type="cellIs" dxfId="83" priority="37" operator="greaterThan">
      <formula>0</formula>
    </cfRule>
  </conditionalFormatting>
  <conditionalFormatting sqref="H125 J125">
    <cfRule type="cellIs" dxfId="82" priority="36" operator="greaterThan">
      <formula>0</formula>
    </cfRule>
  </conditionalFormatting>
  <conditionalFormatting sqref="J125">
    <cfRule type="cellIs" dxfId="81" priority="35" operator="greaterThan">
      <formula>0</formula>
    </cfRule>
  </conditionalFormatting>
  <conditionalFormatting sqref="L72:M72 L74:M74">
    <cfRule type="cellIs" dxfId="80" priority="31" operator="greaterThan">
      <formula>0</formula>
    </cfRule>
  </conditionalFormatting>
  <conditionalFormatting sqref="I72:J75">
    <cfRule type="cellIs" dxfId="79" priority="34" operator="lessThan">
      <formula>$J72</formula>
    </cfRule>
  </conditionalFormatting>
  <conditionalFormatting sqref="L73:M73 L75:M75">
    <cfRule type="cellIs" dxfId="78" priority="33" operator="greaterThan">
      <formula>0</formula>
    </cfRule>
  </conditionalFormatting>
  <conditionalFormatting sqref="L73:M73 L75:M75">
    <cfRule type="cellIs" dxfId="77" priority="32" operator="greaterThan">
      <formula>0</formula>
    </cfRule>
  </conditionalFormatting>
  <conditionalFormatting sqref="I81:J83">
    <cfRule type="cellIs" dxfId="76" priority="28" operator="greaterThan">
      <formula>0</formula>
    </cfRule>
  </conditionalFormatting>
  <conditionalFormatting sqref="L81:M82">
    <cfRule type="cellIs" dxfId="75" priority="29" operator="greaterThan">
      <formula>0</formula>
    </cfRule>
  </conditionalFormatting>
  <conditionalFormatting sqref="I81:J83">
    <cfRule type="cellIs" dxfId="74" priority="30" operator="lessThan">
      <formula>$J81</formula>
    </cfRule>
  </conditionalFormatting>
  <conditionalFormatting sqref="L83:M83">
    <cfRule type="cellIs" dxfId="73" priority="27" operator="greaterThan">
      <formula>0</formula>
    </cfRule>
  </conditionalFormatting>
  <conditionalFormatting sqref="K44">
    <cfRule type="cellIs" dxfId="72" priority="23" operator="greaterThan">
      <formula>0</formula>
    </cfRule>
  </conditionalFormatting>
  <conditionalFormatting sqref="L72:M72 L74:M74">
    <cfRule type="cellIs" dxfId="71" priority="16" operator="greaterThan">
      <formula>0</formula>
    </cfRule>
  </conditionalFormatting>
  <conditionalFormatting sqref="I43:I44">
    <cfRule type="cellIs" dxfId="70" priority="24" operator="greaterThan">
      <formula>0</formula>
    </cfRule>
  </conditionalFormatting>
  <conditionalFormatting sqref="K43">
    <cfRule type="cellIs" dxfId="69" priority="22" operator="greaterThan">
      <formula>0</formula>
    </cfRule>
  </conditionalFormatting>
  <conditionalFormatting sqref="K44">
    <cfRule type="cellIs" dxfId="68" priority="21" operator="greaterThan">
      <formula>0</formula>
    </cfRule>
  </conditionalFormatting>
  <conditionalFormatting sqref="K43">
    <cfRule type="cellIs" dxfId="67" priority="20" operator="greaterThan">
      <formula>0</formula>
    </cfRule>
  </conditionalFormatting>
  <conditionalFormatting sqref="L73:M73 L75:M75">
    <cfRule type="cellIs" dxfId="66" priority="18" operator="greaterThan">
      <formula>0</formula>
    </cfRule>
  </conditionalFormatting>
  <conditionalFormatting sqref="L72:M72 L74:M74">
    <cfRule type="cellIs" dxfId="65" priority="17" operator="greaterThan">
      <formula>0</formula>
    </cfRule>
  </conditionalFormatting>
  <conditionalFormatting sqref="K36:K37">
    <cfRule type="cellIs" dxfId="64" priority="15" operator="greaterThan">
      <formula>0</formula>
    </cfRule>
  </conditionalFormatting>
  <conditionalFormatting sqref="I36:I37">
    <cfRule type="cellIs" dxfId="63" priority="14" operator="greaterThan">
      <formula>0</formula>
    </cfRule>
  </conditionalFormatting>
  <conditionalFormatting sqref="K46 K48 K50 K52 K54 K56 K62 K64 K66 K58 K60">
    <cfRule type="cellIs" dxfId="62" priority="5" operator="greaterThan">
      <formula>0</formula>
    </cfRule>
  </conditionalFormatting>
  <conditionalFormatting sqref="I45:I66">
    <cfRule type="cellIs" dxfId="61" priority="6" operator="greaterThan">
      <formula>0</formula>
    </cfRule>
  </conditionalFormatting>
  <conditionalFormatting sqref="K45 K47 K49 K51 K53 K55 K57 K63 K65 K59 K61">
    <cfRule type="cellIs" dxfId="60" priority="4" operator="greaterThan">
      <formula>0</formula>
    </cfRule>
  </conditionalFormatting>
  <conditionalFormatting sqref="K46 K48 K50 K52 K54 K56 K62 K64 K66 K58 K60">
    <cfRule type="cellIs" dxfId="59" priority="3" operator="greaterThan">
      <formula>0</formula>
    </cfRule>
  </conditionalFormatting>
  <conditionalFormatting sqref="K45 K47 K49 K51 K53 K55 K57 K63 K65 K59 K61">
    <cfRule type="cellIs" dxfId="58" priority="2" operator="greaterThan">
      <formula>0</formula>
    </cfRule>
  </conditionalFormatting>
  <conditionalFormatting sqref="I25:I37 I43:I66">
    <cfRule type="cellIs" dxfId="57" priority="149" operator="lessThan">
      <formula>#REF!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262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9" ht="25.5" customHeight="1">
      <c r="A1" s="157"/>
      <c r="B1" s="61"/>
      <c r="C1" s="2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9"/>
      <c r="O1" s="157"/>
      <c r="P1" s="160"/>
    </row>
    <row r="2" spans="1:29" ht="25.5" customHeight="1">
      <c r="A2" s="157"/>
      <c r="B2" s="61"/>
      <c r="C2" s="2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9"/>
      <c r="O2" s="157"/>
      <c r="P2" s="160"/>
    </row>
    <row r="3" spans="1:29" ht="25.5" customHeight="1">
      <c r="A3" s="157"/>
      <c r="B3" s="61"/>
      <c r="C3" s="2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9"/>
      <c r="O3" s="157"/>
      <c r="P3" s="160"/>
    </row>
    <row r="4" spans="1:29" ht="25.5" customHeight="1">
      <c r="A4" s="157"/>
      <c r="B4" s="1020"/>
      <c r="C4" s="1020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9"/>
      <c r="O4" s="157"/>
      <c r="P4" s="160"/>
    </row>
    <row r="5" spans="1:29" ht="25.5" customHeight="1">
      <c r="A5" s="157"/>
      <c r="B5" s="65" t="s">
        <v>317</v>
      </c>
      <c r="C5" s="502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9"/>
      <c r="O5" s="157"/>
      <c r="P5" s="160"/>
    </row>
    <row r="6" spans="1:29" ht="25.5" customHeight="1">
      <c r="A6" s="157"/>
      <c r="B6" s="398"/>
      <c r="C6" s="2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9"/>
      <c r="O6" s="157"/>
      <c r="P6" s="160"/>
    </row>
    <row r="7" spans="1:29" ht="25.5" customHeight="1">
      <c r="A7" s="157"/>
      <c r="B7" s="399"/>
      <c r="C7" s="2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9"/>
      <c r="O7" s="157"/>
      <c r="P7" s="160"/>
    </row>
    <row r="8" spans="1:29" ht="25.5" customHeight="1">
      <c r="A8" s="157"/>
      <c r="B8" s="68" t="s">
        <v>200</v>
      </c>
      <c r="C8" s="2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9"/>
      <c r="O8" s="157"/>
      <c r="P8" s="160"/>
    </row>
    <row r="9" spans="1:29" ht="25.5" customHeight="1">
      <c r="A9" s="157"/>
      <c r="B9" s="77" t="s">
        <v>202</v>
      </c>
      <c r="C9" s="2"/>
      <c r="D9" s="77" t="s">
        <v>203</v>
      </c>
      <c r="E9" s="2"/>
      <c r="F9" s="157"/>
      <c r="G9" s="157"/>
      <c r="H9" s="157"/>
      <c r="I9" s="157"/>
      <c r="J9" s="157"/>
      <c r="K9" s="158"/>
      <c r="L9" s="157"/>
      <c r="M9" s="159"/>
      <c r="N9" s="159"/>
      <c r="O9" s="157"/>
      <c r="P9" s="160"/>
    </row>
    <row r="10" spans="1:29" ht="25.5" customHeight="1">
      <c r="A10" s="157"/>
      <c r="B10" s="400" t="s">
        <v>193</v>
      </c>
      <c r="C10" s="503"/>
      <c r="D10" s="2"/>
      <c r="E10" s="2"/>
      <c r="F10" s="157"/>
      <c r="G10" s="157"/>
      <c r="H10" s="157"/>
      <c r="I10" s="157"/>
      <c r="J10" s="157"/>
      <c r="K10" s="158"/>
      <c r="L10" s="157"/>
      <c r="M10" s="159"/>
      <c r="N10" s="159"/>
      <c r="O10" s="157"/>
      <c r="P10" s="160"/>
    </row>
    <row r="11" spans="1:29" s="169" customFormat="1" ht="25.5" customHeight="1">
      <c r="A11" s="162"/>
      <c r="B11" s="62"/>
      <c r="C11" s="3"/>
      <c r="D11" s="3"/>
      <c r="E11" s="3"/>
      <c r="F11" s="162"/>
      <c r="G11" s="164"/>
      <c r="H11" s="164"/>
      <c r="I11" s="165"/>
      <c r="J11" s="162"/>
      <c r="K11" s="166"/>
      <c r="L11" s="162"/>
      <c r="M11" s="167"/>
      <c r="N11" s="167"/>
      <c r="O11" s="162"/>
      <c r="P11" s="168"/>
    </row>
    <row r="12" spans="1:29" s="169" customFormat="1" ht="25.5" customHeight="1">
      <c r="A12" s="170"/>
      <c r="B12" s="64"/>
      <c r="C12" s="63"/>
      <c r="D12" s="63"/>
      <c r="E12" s="63"/>
      <c r="F12" s="170"/>
      <c r="G12" s="171"/>
      <c r="H12" s="171"/>
      <c r="I12" s="172"/>
      <c r="J12" s="170"/>
      <c r="K12" s="173"/>
      <c r="L12" s="170"/>
      <c r="M12" s="174"/>
      <c r="N12" s="174"/>
      <c r="O12" s="175"/>
      <c r="P12" s="168"/>
    </row>
    <row r="13" spans="1:29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N13" s="179"/>
      <c r="P13" s="168"/>
    </row>
    <row r="14" spans="1:29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N14" s="179"/>
      <c r="P14" s="168"/>
    </row>
    <row r="15" spans="1:29" s="169" customFormat="1" ht="25.5" customHeight="1">
      <c r="B15" s="994" t="s">
        <v>4</v>
      </c>
      <c r="C15" s="994"/>
      <c r="D15" s="994"/>
      <c r="E15" s="994"/>
      <c r="F15" s="994"/>
      <c r="G15" s="994"/>
      <c r="H15" s="177"/>
      <c r="J15" s="178"/>
      <c r="K15" s="178"/>
      <c r="M15" s="179"/>
      <c r="N15" s="179"/>
      <c r="P15" s="168"/>
      <c r="V15" s="180"/>
      <c r="AA15" s="180"/>
      <c r="AB15" s="180"/>
      <c r="AC15" s="180"/>
    </row>
    <row r="16" spans="1:29" s="169" customFormat="1" ht="25.5" customHeight="1">
      <c r="B16" s="994"/>
      <c r="C16" s="994"/>
      <c r="D16" s="994"/>
      <c r="E16" s="994"/>
      <c r="F16" s="994"/>
      <c r="G16" s="994"/>
      <c r="H16" s="177"/>
      <c r="J16" s="178"/>
      <c r="K16" s="178"/>
      <c r="M16" s="179"/>
      <c r="N16" s="179"/>
      <c r="P16" s="168"/>
      <c r="V16" s="180"/>
      <c r="AA16" s="180"/>
      <c r="AB16" s="180"/>
      <c r="AC16" s="180"/>
    </row>
    <row r="17" spans="2:29" s="169" customFormat="1" ht="25.5" customHeight="1">
      <c r="B17" s="994"/>
      <c r="C17" s="994"/>
      <c r="D17" s="994"/>
      <c r="E17" s="994"/>
      <c r="F17" s="994"/>
      <c r="G17" s="994"/>
      <c r="H17" s="177"/>
      <c r="J17" s="178"/>
      <c r="K17" s="178"/>
      <c r="M17" s="179"/>
      <c r="N17" s="179"/>
      <c r="P17" s="168"/>
      <c r="V17" s="180"/>
      <c r="AA17" s="180"/>
      <c r="AB17" s="180"/>
      <c r="AC17" s="180"/>
    </row>
    <row r="18" spans="2:29" s="169" customFormat="1" ht="25.5" customHeight="1">
      <c r="B18" s="6" t="s">
        <v>204</v>
      </c>
      <c r="C18" s="6"/>
      <c r="D18" s="6"/>
      <c r="E18" s="6"/>
      <c r="F18" s="181"/>
      <c r="H18" s="177"/>
      <c r="J18" s="178"/>
      <c r="K18" s="178"/>
      <c r="M18" s="179"/>
      <c r="N18" s="179"/>
      <c r="P18" s="168"/>
      <c r="V18" s="180"/>
      <c r="W18" s="180"/>
      <c r="X18" s="180"/>
      <c r="Y18" s="180"/>
      <c r="Z18" s="180"/>
      <c r="AA18" s="180"/>
      <c r="AB18" s="180"/>
      <c r="AC18" s="180"/>
    </row>
    <row r="19" spans="2:29" s="169" customFormat="1" ht="25.5" customHeight="1">
      <c r="B19" s="996" t="s">
        <v>205</v>
      </c>
      <c r="C19" s="996"/>
      <c r="D19" s="996"/>
      <c r="E19" s="996"/>
      <c r="F19" s="996"/>
      <c r="G19" s="182"/>
      <c r="H19" s="183"/>
      <c r="I19" s="182"/>
      <c r="J19" s="184"/>
      <c r="K19" s="185"/>
      <c r="L19" s="182"/>
      <c r="M19" s="186"/>
      <c r="N19" s="186"/>
      <c r="O19" s="182"/>
      <c r="P19" s="187"/>
      <c r="V19" s="180"/>
      <c r="W19" s="180"/>
      <c r="X19" s="180"/>
      <c r="Y19" s="180"/>
      <c r="Z19" s="180"/>
      <c r="AA19" s="180"/>
      <c r="AB19" s="180"/>
      <c r="AC19" s="180"/>
    </row>
    <row r="20" spans="2:29" s="169" customFormat="1" ht="25.5" customHeight="1">
      <c r="B20" s="7" t="s">
        <v>206</v>
      </c>
      <c r="C20" s="504"/>
      <c r="D20" s="74"/>
      <c r="E20" s="74"/>
      <c r="F20" s="530"/>
      <c r="G20" s="182"/>
      <c r="H20" s="183"/>
      <c r="I20" s="182"/>
      <c r="J20" s="184"/>
      <c r="K20" s="185"/>
      <c r="L20" s="182"/>
      <c r="M20" s="186"/>
      <c r="N20" s="186"/>
      <c r="O20" s="182"/>
      <c r="P20" s="187"/>
      <c r="V20" s="180"/>
      <c r="W20" s="180"/>
      <c r="X20" s="180"/>
      <c r="Y20" s="180"/>
      <c r="Z20" s="188"/>
      <c r="AA20" s="189"/>
      <c r="AB20" s="180"/>
      <c r="AC20" s="180"/>
    </row>
    <row r="21" spans="2:29" s="169" customFormat="1" ht="25.5" customHeight="1">
      <c r="B21" s="133"/>
      <c r="C21" s="505"/>
      <c r="D21" s="133"/>
      <c r="E21" s="133"/>
      <c r="F21" s="530"/>
      <c r="G21" s="182"/>
      <c r="H21" s="183"/>
      <c r="I21" s="182"/>
      <c r="J21" s="184"/>
      <c r="K21" s="185"/>
      <c r="L21" s="182"/>
      <c r="M21" s="186"/>
      <c r="N21" s="186"/>
      <c r="O21" s="182"/>
      <c r="P21" s="187"/>
      <c r="S21" s="161"/>
      <c r="T21" s="161"/>
      <c r="U21" s="161"/>
      <c r="V21" s="180"/>
      <c r="W21" s="180"/>
      <c r="X21" s="180"/>
      <c r="Y21" s="180"/>
      <c r="Z21" s="180"/>
      <c r="AA21" s="180"/>
      <c r="AB21" s="188"/>
      <c r="AC21" s="180"/>
    </row>
    <row r="22" spans="2:29" s="169" customFormat="1" ht="25.5" customHeight="1">
      <c r="B22" s="133"/>
      <c r="C22" s="505"/>
      <c r="D22" s="133"/>
      <c r="E22" s="133"/>
      <c r="F22" s="530"/>
      <c r="G22" s="182"/>
      <c r="H22" s="183"/>
      <c r="I22" s="182"/>
      <c r="J22" s="184"/>
      <c r="K22" s="185"/>
      <c r="L22" s="182"/>
      <c r="M22" s="186"/>
      <c r="N22" s="186"/>
      <c r="O22" s="182"/>
      <c r="P22" s="187"/>
      <c r="S22" s="161"/>
      <c r="T22" s="161"/>
      <c r="U22" s="161"/>
      <c r="V22" s="180"/>
      <c r="W22" s="180"/>
      <c r="X22" s="180"/>
      <c r="Y22" s="180"/>
      <c r="Z22" s="180"/>
      <c r="AA22" s="180"/>
      <c r="AB22" s="188"/>
      <c r="AC22" s="180"/>
    </row>
    <row r="23" spans="2:29" ht="31">
      <c r="B23" s="443" t="s">
        <v>207</v>
      </c>
      <c r="C23" s="9"/>
      <c r="D23" s="9"/>
      <c r="N23" s="191"/>
      <c r="P23" s="160"/>
      <c r="Q23" s="479"/>
    </row>
    <row r="24" spans="2:29" s="196" customFormat="1" ht="52">
      <c r="B24" s="444" t="s">
        <v>208</v>
      </c>
      <c r="C24" s="506" t="s">
        <v>318</v>
      </c>
      <c r="D24" s="12" t="s">
        <v>10</v>
      </c>
      <c r="E24" s="12" t="s">
        <v>11</v>
      </c>
      <c r="F24" s="12" t="s">
        <v>209</v>
      </c>
      <c r="G24" s="193" t="s">
        <v>210</v>
      </c>
      <c r="H24" s="193" t="s">
        <v>211</v>
      </c>
      <c r="I24" s="194" t="s">
        <v>212</v>
      </c>
      <c r="J24" s="194" t="s">
        <v>213</v>
      </c>
      <c r="K24" s="194" t="s">
        <v>214</v>
      </c>
      <c r="L24" s="195"/>
      <c r="M24" s="193" t="s">
        <v>215</v>
      </c>
      <c r="N24" s="193" t="s">
        <v>216</v>
      </c>
      <c r="P24" s="197"/>
      <c r="T24" s="198"/>
      <c r="U24" s="199"/>
      <c r="V24" s="199"/>
      <c r="W24" s="199"/>
      <c r="X24" s="198"/>
    </row>
    <row r="25" spans="2:29" s="180" customFormat="1" ht="25.5" customHeight="1">
      <c r="B25" s="445" t="s">
        <v>19</v>
      </c>
      <c r="C25" s="507" t="s">
        <v>319</v>
      </c>
      <c r="D25" s="114">
        <v>1</v>
      </c>
      <c r="E25" s="114">
        <v>1</v>
      </c>
      <c r="F25" s="114">
        <v>40</v>
      </c>
      <c r="G25" s="201">
        <f t="shared" ref="G25:G35" si="0">H25/720</f>
        <v>0.51591666666666669</v>
      </c>
      <c r="H25" s="202">
        <f t="shared" ref="H25:H35" si="1">D25*IAAS_vcpu_sunet_b_m+E25*IAAS_ram_sunet_b_m+F25*IAAS_ssd_SUNET</f>
        <v>371.46</v>
      </c>
      <c r="I25" s="203"/>
      <c r="J25" s="203"/>
      <c r="K25" s="203"/>
      <c r="L25" s="200" t="s">
        <v>60</v>
      </c>
      <c r="M25" s="204">
        <f>ROUNDUP(I25*H25,2)</f>
        <v>0</v>
      </c>
      <c r="N25" s="204">
        <f t="shared" ref="N25:N35" si="2">J25*D25*SW_win.ser.201X_SEK+K25*D25*SW_ms.sql.ser_SEK</f>
        <v>0</v>
      </c>
      <c r="P25" s="205"/>
      <c r="Q25" s="478"/>
      <c r="S25" s="481"/>
      <c r="U25" s="480"/>
    </row>
    <row r="26" spans="2:29" s="180" customFormat="1" ht="25.5" customHeight="1">
      <c r="B26" s="446" t="s">
        <v>20</v>
      </c>
      <c r="C26" s="508" t="s">
        <v>319</v>
      </c>
      <c r="D26" s="434">
        <v>1</v>
      </c>
      <c r="E26" s="434">
        <v>2</v>
      </c>
      <c r="F26" s="434">
        <v>40</v>
      </c>
      <c r="G26" s="207">
        <f t="shared" si="0"/>
        <v>0.62695833333333328</v>
      </c>
      <c r="H26" s="208">
        <f t="shared" si="1"/>
        <v>451.40999999999997</v>
      </c>
      <c r="I26" s="203"/>
      <c r="J26" s="203"/>
      <c r="K26" s="203"/>
      <c r="L26" s="206" t="s">
        <v>60</v>
      </c>
      <c r="M26" s="209">
        <f t="shared" ref="M26:M35" si="3">ROUNDUP(I26*H26,2)</f>
        <v>0</v>
      </c>
      <c r="N26" s="209">
        <f t="shared" si="2"/>
        <v>0</v>
      </c>
      <c r="P26" s="205"/>
      <c r="Q26" s="478"/>
      <c r="S26" s="481"/>
      <c r="T26" s="480"/>
    </row>
    <row r="27" spans="2:29" s="180" customFormat="1" ht="25.5" customHeight="1">
      <c r="B27" s="445" t="s">
        <v>21</v>
      </c>
      <c r="C27" s="507" t="s">
        <v>319</v>
      </c>
      <c r="D27" s="114">
        <v>2</v>
      </c>
      <c r="E27" s="114">
        <v>4</v>
      </c>
      <c r="F27" s="114">
        <v>40</v>
      </c>
      <c r="G27" s="201">
        <f t="shared" si="0"/>
        <v>0.99424999999999986</v>
      </c>
      <c r="H27" s="202">
        <f t="shared" si="1"/>
        <v>715.8599999999999</v>
      </c>
      <c r="I27" s="203"/>
      <c r="J27" s="203"/>
      <c r="K27" s="203"/>
      <c r="L27" s="200" t="s">
        <v>60</v>
      </c>
      <c r="M27" s="204">
        <f t="shared" si="3"/>
        <v>0</v>
      </c>
      <c r="N27" s="204">
        <f t="shared" si="2"/>
        <v>0</v>
      </c>
      <c r="O27" s="210"/>
      <c r="P27" s="205"/>
      <c r="Q27" s="478"/>
      <c r="S27" s="481"/>
      <c r="T27" s="480"/>
    </row>
    <row r="28" spans="2:29" s="180" customFormat="1" ht="25.5" customHeight="1">
      <c r="B28" s="446" t="s">
        <v>22</v>
      </c>
      <c r="C28" s="508" t="s">
        <v>319</v>
      </c>
      <c r="D28" s="434">
        <v>4</v>
      </c>
      <c r="E28" s="434">
        <v>8</v>
      </c>
      <c r="F28" s="434">
        <v>40</v>
      </c>
      <c r="G28" s="207">
        <f t="shared" si="0"/>
        <v>1.7288333333333332</v>
      </c>
      <c r="H28" s="208">
        <f t="shared" si="1"/>
        <v>1244.76</v>
      </c>
      <c r="I28" s="203"/>
      <c r="J28" s="203"/>
      <c r="K28" s="203"/>
      <c r="L28" s="206" t="s">
        <v>60</v>
      </c>
      <c r="M28" s="209">
        <f t="shared" si="3"/>
        <v>0</v>
      </c>
      <c r="N28" s="209">
        <f t="shared" si="2"/>
        <v>0</v>
      </c>
      <c r="P28" s="205"/>
      <c r="Q28" s="478"/>
      <c r="S28" s="481"/>
      <c r="T28" s="480"/>
    </row>
    <row r="29" spans="2:29" s="180" customFormat="1" ht="25.5" customHeight="1">
      <c r="B29" s="445" t="s">
        <v>23</v>
      </c>
      <c r="C29" s="507" t="s">
        <v>319</v>
      </c>
      <c r="D29" s="114">
        <v>8</v>
      </c>
      <c r="E29" s="114">
        <v>16</v>
      </c>
      <c r="F29" s="114">
        <v>40</v>
      </c>
      <c r="G29" s="201">
        <f t="shared" si="0"/>
        <v>3.198</v>
      </c>
      <c r="H29" s="202">
        <f t="shared" si="1"/>
        <v>2302.56</v>
      </c>
      <c r="I29" s="203"/>
      <c r="J29" s="203"/>
      <c r="K29" s="203"/>
      <c r="L29" s="200" t="s">
        <v>60</v>
      </c>
      <c r="M29" s="204">
        <f t="shared" si="3"/>
        <v>0</v>
      </c>
      <c r="N29" s="204">
        <f t="shared" si="2"/>
        <v>0</v>
      </c>
      <c r="P29" s="205"/>
      <c r="Q29" s="478"/>
      <c r="S29" s="481"/>
    </row>
    <row r="30" spans="2:29" s="180" customFormat="1" ht="25.5" customHeight="1">
      <c r="B30" s="446" t="s">
        <v>24</v>
      </c>
      <c r="C30" s="508" t="s">
        <v>319</v>
      </c>
      <c r="D30" s="434">
        <v>16</v>
      </c>
      <c r="E30" s="434">
        <v>32</v>
      </c>
      <c r="F30" s="434">
        <v>40</v>
      </c>
      <c r="G30" s="207">
        <f t="shared" si="0"/>
        <v>6.136333333333333</v>
      </c>
      <c r="H30" s="208">
        <f t="shared" si="1"/>
        <v>4418.16</v>
      </c>
      <c r="I30" s="203"/>
      <c r="J30" s="203"/>
      <c r="K30" s="203"/>
      <c r="L30" s="206" t="s">
        <v>60</v>
      </c>
      <c r="M30" s="209">
        <f t="shared" si="3"/>
        <v>0</v>
      </c>
      <c r="N30" s="209">
        <f t="shared" si="2"/>
        <v>0</v>
      </c>
      <c r="P30" s="205"/>
      <c r="Q30" s="478"/>
      <c r="S30" s="481"/>
    </row>
    <row r="31" spans="2:29" s="180" customFormat="1" ht="25.5" customHeight="1">
      <c r="B31" s="445" t="s">
        <v>25</v>
      </c>
      <c r="C31" s="507" t="s">
        <v>319</v>
      </c>
      <c r="D31" s="114">
        <v>1</v>
      </c>
      <c r="E31" s="114">
        <v>4</v>
      </c>
      <c r="F31" s="114">
        <v>40</v>
      </c>
      <c r="G31" s="201">
        <f t="shared" si="0"/>
        <v>0.84904166666666658</v>
      </c>
      <c r="H31" s="202">
        <f t="shared" si="1"/>
        <v>611.30999999999995</v>
      </c>
      <c r="I31" s="203"/>
      <c r="J31" s="203"/>
      <c r="K31" s="203"/>
      <c r="L31" s="200" t="s">
        <v>60</v>
      </c>
      <c r="M31" s="204">
        <f t="shared" si="3"/>
        <v>0</v>
      </c>
      <c r="N31" s="204">
        <f t="shared" si="2"/>
        <v>0</v>
      </c>
      <c r="P31" s="205"/>
      <c r="Q31" s="478"/>
    </row>
    <row r="32" spans="2:29" s="180" customFormat="1" ht="25.5" customHeight="1">
      <c r="B32" s="446" t="s">
        <v>26</v>
      </c>
      <c r="C32" s="508" t="s">
        <v>319</v>
      </c>
      <c r="D32" s="434">
        <v>2</v>
      </c>
      <c r="E32" s="434">
        <v>8</v>
      </c>
      <c r="F32" s="434">
        <v>40</v>
      </c>
      <c r="G32" s="207">
        <f t="shared" si="0"/>
        <v>1.4384166666666667</v>
      </c>
      <c r="H32" s="208">
        <f t="shared" si="1"/>
        <v>1035.6600000000001</v>
      </c>
      <c r="I32" s="203"/>
      <c r="J32" s="203"/>
      <c r="K32" s="203"/>
      <c r="L32" s="206" t="s">
        <v>60</v>
      </c>
      <c r="M32" s="209">
        <f t="shared" si="3"/>
        <v>0</v>
      </c>
      <c r="N32" s="209">
        <f t="shared" si="2"/>
        <v>0</v>
      </c>
      <c r="P32" s="205"/>
      <c r="Q32" s="478"/>
    </row>
    <row r="33" spans="2:23" s="180" customFormat="1" ht="25.5" customHeight="1">
      <c r="B33" s="445" t="s">
        <v>27</v>
      </c>
      <c r="C33" s="507" t="s">
        <v>319</v>
      </c>
      <c r="D33" s="114">
        <v>4</v>
      </c>
      <c r="E33" s="114">
        <v>16</v>
      </c>
      <c r="F33" s="114">
        <v>40</v>
      </c>
      <c r="G33" s="201">
        <f t="shared" si="0"/>
        <v>2.6171666666666669</v>
      </c>
      <c r="H33" s="202">
        <f t="shared" si="1"/>
        <v>1884.3600000000001</v>
      </c>
      <c r="I33" s="203"/>
      <c r="J33" s="203"/>
      <c r="K33" s="203"/>
      <c r="L33" s="200" t="s">
        <v>60</v>
      </c>
      <c r="M33" s="204">
        <f t="shared" si="3"/>
        <v>0</v>
      </c>
      <c r="N33" s="204">
        <f t="shared" si="2"/>
        <v>0</v>
      </c>
      <c r="P33" s="205"/>
      <c r="Q33" s="478"/>
    </row>
    <row r="34" spans="2:23" s="180" customFormat="1" ht="25.5" customHeight="1">
      <c r="B34" s="446" t="s">
        <v>28</v>
      </c>
      <c r="C34" s="508" t="s">
        <v>319</v>
      </c>
      <c r="D34" s="434">
        <v>8</v>
      </c>
      <c r="E34" s="434">
        <v>32</v>
      </c>
      <c r="F34" s="434">
        <v>40</v>
      </c>
      <c r="G34" s="207">
        <f t="shared" si="0"/>
        <v>4.9746666666666668</v>
      </c>
      <c r="H34" s="208">
        <f t="shared" si="1"/>
        <v>3581.76</v>
      </c>
      <c r="I34" s="203"/>
      <c r="J34" s="203"/>
      <c r="K34" s="203"/>
      <c r="L34" s="206" t="s">
        <v>60</v>
      </c>
      <c r="M34" s="209">
        <f t="shared" si="3"/>
        <v>0</v>
      </c>
      <c r="N34" s="209">
        <f t="shared" si="2"/>
        <v>0</v>
      </c>
      <c r="P34" s="205"/>
      <c r="Q34" s="478"/>
      <c r="U34" s="188"/>
      <c r="V34" s="188"/>
      <c r="W34" s="188"/>
    </row>
    <row r="35" spans="2:23" s="180" customFormat="1" ht="25.5" customHeight="1">
      <c r="B35" s="445" t="s">
        <v>29</v>
      </c>
      <c r="C35" s="507" t="s">
        <v>319</v>
      </c>
      <c r="D35" s="114">
        <v>16</v>
      </c>
      <c r="E35" s="114">
        <v>65</v>
      </c>
      <c r="F35" s="114">
        <v>40</v>
      </c>
      <c r="G35" s="201">
        <f t="shared" si="0"/>
        <v>9.8007083333333345</v>
      </c>
      <c r="H35" s="202">
        <f t="shared" si="1"/>
        <v>7056.51</v>
      </c>
      <c r="I35" s="203"/>
      <c r="J35" s="203"/>
      <c r="K35" s="203"/>
      <c r="L35" s="200" t="s">
        <v>60</v>
      </c>
      <c r="M35" s="204">
        <f t="shared" si="3"/>
        <v>0</v>
      </c>
      <c r="N35" s="204">
        <f t="shared" si="2"/>
        <v>0</v>
      </c>
      <c r="P35" s="205"/>
      <c r="U35" s="188"/>
      <c r="V35" s="188"/>
      <c r="W35" s="188"/>
    </row>
    <row r="36" spans="2:23" ht="25.5" customHeight="1">
      <c r="B36" s="447" t="s">
        <v>85</v>
      </c>
      <c r="C36" s="509"/>
      <c r="D36" s="87"/>
      <c r="E36" s="87"/>
      <c r="F36" s="211"/>
      <c r="G36" s="212"/>
      <c r="H36" s="213"/>
      <c r="I36" s="280" t="str">
        <f>SUM(I25:I35)&amp;" st"</f>
        <v>0 st</v>
      </c>
      <c r="J36" s="280" t="str">
        <f>SUM(J25:J35)&amp;" st"</f>
        <v>0 st</v>
      </c>
      <c r="K36" s="280" t="str">
        <f>SUM(K25:K35)&amp;" st"</f>
        <v>0 st</v>
      </c>
      <c r="L36" s="156"/>
      <c r="M36" s="545">
        <f>SUM(M25:M35)</f>
        <v>0</v>
      </c>
      <c r="N36" s="88">
        <f>SUM(N25:N35)</f>
        <v>0</v>
      </c>
      <c r="P36" s="160"/>
      <c r="U36" s="188"/>
      <c r="V36" s="188"/>
      <c r="W36" s="214"/>
    </row>
    <row r="37" spans="2:23" ht="25.5" customHeight="1">
      <c r="B37" s="448"/>
      <c r="C37" s="510"/>
      <c r="D37" s="19"/>
      <c r="E37" s="19"/>
      <c r="F37" s="215"/>
      <c r="G37" s="216"/>
      <c r="H37" s="217"/>
      <c r="I37" s="48"/>
      <c r="J37" s="48"/>
      <c r="K37" s="48"/>
      <c r="L37" s="218"/>
      <c r="M37" s="48"/>
      <c r="N37" s="49"/>
      <c r="P37" s="160"/>
      <c r="U37" s="188"/>
      <c r="V37" s="188"/>
      <c r="W37" s="214"/>
    </row>
    <row r="38" spans="2:23" ht="25.5" customHeight="1">
      <c r="B38" s="448"/>
      <c r="C38" s="510"/>
      <c r="D38" s="19"/>
      <c r="E38" s="19"/>
      <c r="F38" s="215"/>
      <c r="G38" s="216"/>
      <c r="H38" s="217"/>
      <c r="I38" s="48"/>
      <c r="J38" s="48"/>
      <c r="K38" s="48"/>
      <c r="L38" s="218"/>
      <c r="M38" s="48"/>
      <c r="N38" s="49"/>
      <c r="P38" s="160"/>
      <c r="U38" s="188"/>
      <c r="V38" s="188"/>
      <c r="W38" s="214"/>
    </row>
    <row r="39" spans="2:23" s="223" customFormat="1" ht="31">
      <c r="B39" s="416" t="s">
        <v>217</v>
      </c>
      <c r="C39" s="107"/>
      <c r="D39" s="107"/>
      <c r="E39" s="107"/>
      <c r="F39" s="219"/>
      <c r="G39" s="219"/>
      <c r="H39" s="220"/>
      <c r="I39" s="221"/>
      <c r="J39" s="221"/>
      <c r="K39" s="221"/>
      <c r="L39" s="221"/>
      <c r="M39" s="222"/>
      <c r="N39" s="222"/>
      <c r="P39" s="224"/>
      <c r="U39" s="225"/>
      <c r="V39" s="225"/>
      <c r="W39" s="226"/>
    </row>
    <row r="40" spans="2:23" s="227" customFormat="1" ht="52">
      <c r="B40" s="444" t="s">
        <v>208</v>
      </c>
      <c r="C40" s="506" t="s">
        <v>318</v>
      </c>
      <c r="D40" s="12" t="s">
        <v>10</v>
      </c>
      <c r="E40" s="12" t="s">
        <v>11</v>
      </c>
      <c r="F40" s="12" t="s">
        <v>209</v>
      </c>
      <c r="G40" s="193" t="s">
        <v>210</v>
      </c>
      <c r="H40" s="193" t="s">
        <v>211</v>
      </c>
      <c r="I40" s="194" t="s">
        <v>212</v>
      </c>
      <c r="J40" s="194" t="s">
        <v>213</v>
      </c>
      <c r="K40" s="194" t="s">
        <v>214</v>
      </c>
      <c r="L40" s="195"/>
      <c r="M40" s="193" t="s">
        <v>215</v>
      </c>
      <c r="N40" s="193" t="s">
        <v>216</v>
      </c>
      <c r="P40" s="160"/>
      <c r="Q40" s="161"/>
      <c r="R40" s="161"/>
      <c r="S40" s="161"/>
      <c r="T40" s="161"/>
      <c r="U40" s="188"/>
      <c r="V40" s="188"/>
      <c r="W40" s="214"/>
    </row>
    <row r="41" spans="2:23" s="180" customFormat="1" ht="25.5" customHeight="1">
      <c r="B41" s="445" t="s">
        <v>33</v>
      </c>
      <c r="C41" s="39" t="s">
        <v>319</v>
      </c>
      <c r="D41" s="526">
        <v>1</v>
      </c>
      <c r="E41" s="526">
        <v>1</v>
      </c>
      <c r="F41" s="98">
        <v>10</v>
      </c>
      <c r="G41" s="232">
        <f>H41/720</f>
        <v>0.24770833333333336</v>
      </c>
      <c r="H41" s="233">
        <f t="shared" ref="H41:H59" si="4">D41*IAAS_vcpu_SUNET+E41*IAAS_ram_SUNET+F41*IAAS_nvme_SUNET</f>
        <v>178.35000000000002</v>
      </c>
      <c r="I41" s="203"/>
      <c r="J41" s="203"/>
      <c r="K41" s="203"/>
      <c r="L41" s="200" t="s">
        <v>60</v>
      </c>
      <c r="M41" s="204">
        <f t="shared" ref="M41:M59" si="5">ROUNDUP(I41*H41,2)</f>
        <v>0</v>
      </c>
      <c r="N41" s="204">
        <f t="shared" ref="N41:N59" si="6">J41*D41*SW_win.ser.201X_SEK+K41*D41*SW_ms.sql.ser_SEK</f>
        <v>0</v>
      </c>
      <c r="P41" s="205"/>
      <c r="U41" s="188"/>
      <c r="W41" s="188"/>
    </row>
    <row r="42" spans="2:23" s="180" customFormat="1" ht="25.5" customHeight="1">
      <c r="B42" s="446" t="s">
        <v>34</v>
      </c>
      <c r="C42" s="41" t="s">
        <v>319</v>
      </c>
      <c r="D42" s="527">
        <v>4</v>
      </c>
      <c r="E42" s="527">
        <v>8</v>
      </c>
      <c r="F42" s="113">
        <v>250</v>
      </c>
      <c r="G42" s="229">
        <f t="shared" ref="G42:G59" si="7">H42/720</f>
        <v>1.7254166666666668</v>
      </c>
      <c r="H42" s="230">
        <f t="shared" si="4"/>
        <v>1242.3000000000002</v>
      </c>
      <c r="I42" s="203"/>
      <c r="J42" s="203"/>
      <c r="K42" s="203"/>
      <c r="L42" s="206" t="s">
        <v>60</v>
      </c>
      <c r="M42" s="209">
        <f t="shared" si="5"/>
        <v>0</v>
      </c>
      <c r="N42" s="209">
        <f t="shared" si="6"/>
        <v>0</v>
      </c>
      <c r="P42" s="205"/>
      <c r="U42" s="188"/>
      <c r="W42" s="188"/>
    </row>
    <row r="43" spans="2:23" s="180" customFormat="1" ht="25.5" customHeight="1">
      <c r="B43" s="445" t="s">
        <v>35</v>
      </c>
      <c r="C43" s="39" t="s">
        <v>319</v>
      </c>
      <c r="D43" s="526">
        <v>8</v>
      </c>
      <c r="E43" s="526">
        <v>16</v>
      </c>
      <c r="F43" s="98">
        <v>250</v>
      </c>
      <c r="G43" s="232">
        <f t="shared" si="7"/>
        <v>3.0237500000000006</v>
      </c>
      <c r="H43" s="233">
        <f t="shared" si="4"/>
        <v>2177.1000000000004</v>
      </c>
      <c r="I43" s="203"/>
      <c r="J43" s="203"/>
      <c r="K43" s="203"/>
      <c r="L43" s="200" t="s">
        <v>60</v>
      </c>
      <c r="M43" s="204">
        <f t="shared" si="5"/>
        <v>0</v>
      </c>
      <c r="N43" s="204">
        <f t="shared" si="6"/>
        <v>0</v>
      </c>
      <c r="P43" s="205"/>
      <c r="U43" s="188"/>
      <c r="W43" s="188"/>
    </row>
    <row r="44" spans="2:23" s="180" customFormat="1" ht="25.5" customHeight="1">
      <c r="B44" s="446" t="s">
        <v>36</v>
      </c>
      <c r="C44" s="41" t="s">
        <v>319</v>
      </c>
      <c r="D44" s="527">
        <v>16</v>
      </c>
      <c r="E44" s="527">
        <v>32</v>
      </c>
      <c r="F44" s="113">
        <v>250</v>
      </c>
      <c r="G44" s="229">
        <f t="shared" si="7"/>
        <v>5.6204166666666673</v>
      </c>
      <c r="H44" s="230">
        <f t="shared" si="4"/>
        <v>4046.7000000000003</v>
      </c>
      <c r="I44" s="203"/>
      <c r="J44" s="203"/>
      <c r="K44" s="203"/>
      <c r="L44" s="206" t="s">
        <v>60</v>
      </c>
      <c r="M44" s="209">
        <f t="shared" si="5"/>
        <v>0</v>
      </c>
      <c r="N44" s="209">
        <f t="shared" si="6"/>
        <v>0</v>
      </c>
      <c r="P44" s="205"/>
      <c r="U44" s="188"/>
      <c r="W44" s="188"/>
    </row>
    <row r="45" spans="2:23" s="180" customFormat="1" ht="25.5" customHeight="1">
      <c r="B45" s="445" t="s">
        <v>37</v>
      </c>
      <c r="C45" s="39" t="s">
        <v>319</v>
      </c>
      <c r="D45" s="526">
        <v>16</v>
      </c>
      <c r="E45" s="526">
        <v>32</v>
      </c>
      <c r="F45" s="98">
        <v>500</v>
      </c>
      <c r="G45" s="229">
        <f t="shared" si="7"/>
        <v>6.0475000000000012</v>
      </c>
      <c r="H45" s="233">
        <f t="shared" si="4"/>
        <v>4354.2000000000007</v>
      </c>
      <c r="I45" s="203"/>
      <c r="J45" s="203"/>
      <c r="K45" s="203"/>
      <c r="L45" s="200" t="s">
        <v>60</v>
      </c>
      <c r="M45" s="204">
        <f t="shared" si="5"/>
        <v>0</v>
      </c>
      <c r="N45" s="204">
        <f t="shared" si="6"/>
        <v>0</v>
      </c>
      <c r="P45" s="205"/>
      <c r="U45" s="188"/>
      <c r="W45" s="188"/>
    </row>
    <row r="46" spans="2:23" s="180" customFormat="1" ht="25.5" customHeight="1">
      <c r="B46" s="446" t="s">
        <v>38</v>
      </c>
      <c r="C46" s="41" t="s">
        <v>319</v>
      </c>
      <c r="D46" s="527">
        <v>16</v>
      </c>
      <c r="E46" s="527">
        <v>32</v>
      </c>
      <c r="F46" s="113">
        <v>1000</v>
      </c>
      <c r="G46" s="229">
        <f t="shared" si="7"/>
        <v>6.9016666666666673</v>
      </c>
      <c r="H46" s="230">
        <f t="shared" si="4"/>
        <v>4969.2000000000007</v>
      </c>
      <c r="I46" s="203"/>
      <c r="J46" s="203"/>
      <c r="K46" s="203"/>
      <c r="L46" s="206" t="s">
        <v>60</v>
      </c>
      <c r="M46" s="209">
        <f t="shared" si="5"/>
        <v>0</v>
      </c>
      <c r="N46" s="209">
        <f t="shared" si="6"/>
        <v>0</v>
      </c>
      <c r="P46" s="205"/>
      <c r="U46" s="188"/>
      <c r="W46" s="188"/>
    </row>
    <row r="47" spans="2:23" s="180" customFormat="1" ht="25.5" customHeight="1">
      <c r="B47" s="445" t="s">
        <v>39</v>
      </c>
      <c r="C47" s="39" t="s">
        <v>319</v>
      </c>
      <c r="D47" s="526">
        <v>32</v>
      </c>
      <c r="E47" s="526">
        <v>65</v>
      </c>
      <c r="F47" s="98">
        <v>250</v>
      </c>
      <c r="G47" s="232">
        <f t="shared" si="7"/>
        <v>10.907708333333334</v>
      </c>
      <c r="H47" s="233">
        <f t="shared" si="4"/>
        <v>7853.55</v>
      </c>
      <c r="I47" s="203"/>
      <c r="J47" s="203"/>
      <c r="K47" s="203"/>
      <c r="L47" s="200" t="s">
        <v>60</v>
      </c>
      <c r="M47" s="204">
        <f t="shared" si="5"/>
        <v>0</v>
      </c>
      <c r="N47" s="204">
        <f t="shared" si="6"/>
        <v>0</v>
      </c>
      <c r="P47" s="205"/>
      <c r="U47" s="188"/>
      <c r="W47" s="188"/>
    </row>
    <row r="48" spans="2:23" s="180" customFormat="1" ht="25.5" customHeight="1">
      <c r="B48" s="446" t="s">
        <v>40</v>
      </c>
      <c r="C48" s="41" t="s">
        <v>319</v>
      </c>
      <c r="D48" s="527">
        <v>32</v>
      </c>
      <c r="E48" s="527">
        <v>65</v>
      </c>
      <c r="F48" s="113">
        <v>500</v>
      </c>
      <c r="G48" s="229">
        <f t="shared" si="7"/>
        <v>11.334791666666668</v>
      </c>
      <c r="H48" s="230">
        <f t="shared" si="4"/>
        <v>8161.05</v>
      </c>
      <c r="I48" s="203"/>
      <c r="J48" s="203"/>
      <c r="K48" s="203"/>
      <c r="L48" s="206" t="s">
        <v>60</v>
      </c>
      <c r="M48" s="209">
        <f t="shared" si="5"/>
        <v>0</v>
      </c>
      <c r="N48" s="209">
        <f t="shared" si="6"/>
        <v>0</v>
      </c>
      <c r="P48" s="205"/>
      <c r="U48" s="188"/>
      <c r="W48" s="188"/>
    </row>
    <row r="49" spans="2:24" s="180" customFormat="1" ht="25.5" customHeight="1">
      <c r="B49" s="445" t="s">
        <v>41</v>
      </c>
      <c r="C49" s="39" t="s">
        <v>319</v>
      </c>
      <c r="D49" s="526">
        <v>32</v>
      </c>
      <c r="E49" s="526">
        <v>65</v>
      </c>
      <c r="F49" s="98">
        <v>1000</v>
      </c>
      <c r="G49" s="232">
        <f t="shared" si="7"/>
        <v>12.188958333333332</v>
      </c>
      <c r="H49" s="233">
        <f t="shared" si="4"/>
        <v>8776.0499999999993</v>
      </c>
      <c r="I49" s="203"/>
      <c r="J49" s="203"/>
      <c r="K49" s="203"/>
      <c r="L49" s="200" t="s">
        <v>60</v>
      </c>
      <c r="M49" s="204">
        <f t="shared" si="5"/>
        <v>0</v>
      </c>
      <c r="N49" s="204">
        <f t="shared" si="6"/>
        <v>0</v>
      </c>
      <c r="P49" s="205"/>
      <c r="U49" s="188"/>
      <c r="W49" s="188"/>
    </row>
    <row r="50" spans="2:24" s="180" customFormat="1" ht="25.5" customHeight="1">
      <c r="B50" s="446" t="s">
        <v>42</v>
      </c>
      <c r="C50" s="41" t="s">
        <v>319</v>
      </c>
      <c r="D50" s="527">
        <v>4</v>
      </c>
      <c r="E50" s="527">
        <v>16</v>
      </c>
      <c r="F50" s="113">
        <v>250</v>
      </c>
      <c r="G50" s="229">
        <f t="shared" si="7"/>
        <v>2.4770833333333333</v>
      </c>
      <c r="H50" s="230">
        <f t="shared" si="4"/>
        <v>1783.5</v>
      </c>
      <c r="I50" s="203"/>
      <c r="J50" s="203"/>
      <c r="K50" s="203"/>
      <c r="L50" s="206" t="s">
        <v>60</v>
      </c>
      <c r="M50" s="209">
        <f t="shared" si="5"/>
        <v>0</v>
      </c>
      <c r="N50" s="209">
        <f t="shared" si="6"/>
        <v>0</v>
      </c>
      <c r="P50" s="205"/>
      <c r="U50" s="188"/>
      <c r="W50" s="188"/>
    </row>
    <row r="51" spans="2:24" s="180" customFormat="1" ht="25.5" customHeight="1">
      <c r="B51" s="445" t="s">
        <v>43</v>
      </c>
      <c r="C51" s="39" t="s">
        <v>319</v>
      </c>
      <c r="D51" s="526">
        <v>8</v>
      </c>
      <c r="E51" s="526">
        <v>32</v>
      </c>
      <c r="F51" s="98">
        <v>250</v>
      </c>
      <c r="G51" s="232">
        <f t="shared" si="7"/>
        <v>4.5270833333333336</v>
      </c>
      <c r="H51" s="233">
        <f t="shared" si="4"/>
        <v>3259.5</v>
      </c>
      <c r="I51" s="203"/>
      <c r="J51" s="203"/>
      <c r="K51" s="203"/>
      <c r="L51" s="200" t="s">
        <v>60</v>
      </c>
      <c r="M51" s="204">
        <f t="shared" si="5"/>
        <v>0</v>
      </c>
      <c r="N51" s="204">
        <f t="shared" si="6"/>
        <v>0</v>
      </c>
      <c r="P51" s="205"/>
      <c r="U51" s="188"/>
      <c r="W51" s="188"/>
    </row>
    <row r="52" spans="2:24" s="180" customFormat="1" ht="25.5" customHeight="1">
      <c r="B52" s="446" t="s">
        <v>44</v>
      </c>
      <c r="C52" s="41" t="s">
        <v>319</v>
      </c>
      <c r="D52" s="527">
        <v>8</v>
      </c>
      <c r="E52" s="527">
        <v>32</v>
      </c>
      <c r="F52" s="113">
        <v>500</v>
      </c>
      <c r="G52" s="229">
        <f t="shared" si="7"/>
        <v>4.9541666666666666</v>
      </c>
      <c r="H52" s="230">
        <f t="shared" si="4"/>
        <v>3567</v>
      </c>
      <c r="I52" s="203"/>
      <c r="J52" s="203"/>
      <c r="K52" s="203"/>
      <c r="L52" s="206" t="s">
        <v>60</v>
      </c>
      <c r="M52" s="209">
        <f t="shared" si="5"/>
        <v>0</v>
      </c>
      <c r="N52" s="209">
        <f t="shared" si="6"/>
        <v>0</v>
      </c>
      <c r="P52" s="205"/>
      <c r="U52" s="188"/>
      <c r="W52" s="188"/>
    </row>
    <row r="53" spans="2:24" s="180" customFormat="1" ht="25.5" customHeight="1">
      <c r="B53" s="445" t="s">
        <v>45</v>
      </c>
      <c r="C53" s="39" t="s">
        <v>319</v>
      </c>
      <c r="D53" s="526">
        <v>8</v>
      </c>
      <c r="E53" s="526">
        <v>32</v>
      </c>
      <c r="F53" s="98">
        <v>1000</v>
      </c>
      <c r="G53" s="232">
        <f t="shared" si="7"/>
        <v>5.8083333333333336</v>
      </c>
      <c r="H53" s="233">
        <f t="shared" si="4"/>
        <v>4182</v>
      </c>
      <c r="I53" s="203"/>
      <c r="J53" s="203"/>
      <c r="K53" s="203"/>
      <c r="L53" s="200" t="s">
        <v>60</v>
      </c>
      <c r="M53" s="204">
        <f t="shared" si="5"/>
        <v>0</v>
      </c>
      <c r="N53" s="204">
        <f t="shared" si="6"/>
        <v>0</v>
      </c>
      <c r="P53" s="205"/>
      <c r="U53" s="188"/>
      <c r="W53" s="188"/>
    </row>
    <row r="54" spans="2:24" s="180" customFormat="1" ht="25.5" customHeight="1">
      <c r="B54" s="446" t="s">
        <v>46</v>
      </c>
      <c r="C54" s="41" t="s">
        <v>319</v>
      </c>
      <c r="D54" s="527">
        <v>16</v>
      </c>
      <c r="E54" s="527">
        <v>65</v>
      </c>
      <c r="F54" s="113">
        <v>250</v>
      </c>
      <c r="G54" s="229">
        <f t="shared" si="7"/>
        <v>8.7210416666666664</v>
      </c>
      <c r="H54" s="230">
        <f t="shared" si="4"/>
        <v>6279.15</v>
      </c>
      <c r="I54" s="203"/>
      <c r="J54" s="203"/>
      <c r="K54" s="203"/>
      <c r="L54" s="206" t="s">
        <v>60</v>
      </c>
      <c r="M54" s="209">
        <f t="shared" si="5"/>
        <v>0</v>
      </c>
      <c r="N54" s="209">
        <f t="shared" si="6"/>
        <v>0</v>
      </c>
      <c r="P54" s="205"/>
      <c r="U54" s="188"/>
      <c r="W54" s="188"/>
    </row>
    <row r="55" spans="2:24" s="180" customFormat="1" ht="25.5" customHeight="1">
      <c r="B55" s="445" t="s">
        <v>47</v>
      </c>
      <c r="C55" s="39" t="s">
        <v>319</v>
      </c>
      <c r="D55" s="526">
        <v>16</v>
      </c>
      <c r="E55" s="526">
        <v>65</v>
      </c>
      <c r="F55" s="98">
        <v>500</v>
      </c>
      <c r="G55" s="232">
        <f t="shared" si="7"/>
        <v>9.1481250000000003</v>
      </c>
      <c r="H55" s="233">
        <f t="shared" si="4"/>
        <v>6586.65</v>
      </c>
      <c r="I55" s="203"/>
      <c r="J55" s="203"/>
      <c r="K55" s="203"/>
      <c r="L55" s="200" t="s">
        <v>60</v>
      </c>
      <c r="M55" s="204">
        <f t="shared" si="5"/>
        <v>0</v>
      </c>
      <c r="N55" s="204">
        <f t="shared" si="6"/>
        <v>0</v>
      </c>
      <c r="P55" s="205"/>
      <c r="U55" s="188"/>
      <c r="W55" s="188"/>
    </row>
    <row r="56" spans="2:24" s="180" customFormat="1" ht="25.5" customHeight="1">
      <c r="B56" s="446" t="s">
        <v>48</v>
      </c>
      <c r="C56" s="41" t="s">
        <v>319</v>
      </c>
      <c r="D56" s="527">
        <v>16</v>
      </c>
      <c r="E56" s="527">
        <v>65</v>
      </c>
      <c r="F56" s="113">
        <v>1000</v>
      </c>
      <c r="G56" s="229">
        <f t="shared" si="7"/>
        <v>10.002291666666666</v>
      </c>
      <c r="H56" s="230">
        <f t="shared" si="4"/>
        <v>7201.65</v>
      </c>
      <c r="I56" s="203"/>
      <c r="J56" s="203"/>
      <c r="K56" s="203"/>
      <c r="L56" s="206" t="s">
        <v>60</v>
      </c>
      <c r="M56" s="209">
        <f t="shared" si="5"/>
        <v>0</v>
      </c>
      <c r="N56" s="209">
        <f t="shared" si="6"/>
        <v>0</v>
      </c>
      <c r="P56" s="205"/>
      <c r="U56" s="188"/>
      <c r="W56" s="188"/>
    </row>
    <row r="57" spans="2:24" s="180" customFormat="1" ht="25.5" customHeight="1">
      <c r="B57" s="445" t="s">
        <v>49</v>
      </c>
      <c r="C57" s="39" t="s">
        <v>319</v>
      </c>
      <c r="D57" s="526">
        <v>32</v>
      </c>
      <c r="E57" s="526">
        <v>131</v>
      </c>
      <c r="F57" s="98">
        <v>250</v>
      </c>
      <c r="G57" s="232">
        <f t="shared" si="7"/>
        <v>17.108958333333334</v>
      </c>
      <c r="H57" s="233">
        <f t="shared" si="4"/>
        <v>12318.45</v>
      </c>
      <c r="I57" s="203"/>
      <c r="J57" s="203"/>
      <c r="K57" s="203"/>
      <c r="L57" s="200" t="s">
        <v>60</v>
      </c>
      <c r="M57" s="204">
        <f t="shared" si="5"/>
        <v>0</v>
      </c>
      <c r="N57" s="204">
        <f t="shared" si="6"/>
        <v>0</v>
      </c>
      <c r="P57" s="205"/>
      <c r="U57" s="188"/>
      <c r="W57" s="188"/>
    </row>
    <row r="58" spans="2:24" s="180" customFormat="1" ht="25.5" customHeight="1">
      <c r="B58" s="446" t="s">
        <v>50</v>
      </c>
      <c r="C58" s="41" t="s">
        <v>319</v>
      </c>
      <c r="D58" s="527">
        <v>32</v>
      </c>
      <c r="E58" s="527">
        <v>131</v>
      </c>
      <c r="F58" s="113">
        <v>500</v>
      </c>
      <c r="G58" s="229">
        <f t="shared" si="7"/>
        <v>17.536041666666669</v>
      </c>
      <c r="H58" s="230">
        <f t="shared" si="4"/>
        <v>12625.95</v>
      </c>
      <c r="I58" s="203"/>
      <c r="J58" s="203"/>
      <c r="K58" s="203"/>
      <c r="L58" s="206" t="s">
        <v>60</v>
      </c>
      <c r="M58" s="209">
        <f t="shared" si="5"/>
        <v>0</v>
      </c>
      <c r="N58" s="209">
        <f t="shared" si="6"/>
        <v>0</v>
      </c>
      <c r="P58" s="205"/>
      <c r="U58" s="188"/>
      <c r="W58" s="188"/>
    </row>
    <row r="59" spans="2:24" s="180" customFormat="1" ht="25.5" customHeight="1">
      <c r="B59" s="445" t="s">
        <v>51</v>
      </c>
      <c r="C59" s="39" t="s">
        <v>319</v>
      </c>
      <c r="D59" s="526">
        <v>32</v>
      </c>
      <c r="E59" s="526">
        <v>131</v>
      </c>
      <c r="F59" s="98">
        <v>1000</v>
      </c>
      <c r="G59" s="232">
        <f t="shared" si="7"/>
        <v>18.390208333333334</v>
      </c>
      <c r="H59" s="233">
        <f t="shared" si="4"/>
        <v>13240.95</v>
      </c>
      <c r="I59" s="203"/>
      <c r="J59" s="203"/>
      <c r="K59" s="203"/>
      <c r="L59" s="200" t="s">
        <v>60</v>
      </c>
      <c r="M59" s="204">
        <f t="shared" si="5"/>
        <v>0</v>
      </c>
      <c r="N59" s="204">
        <f t="shared" si="6"/>
        <v>0</v>
      </c>
      <c r="P59" s="205"/>
      <c r="U59" s="188"/>
      <c r="W59" s="188"/>
    </row>
    <row r="60" spans="2:24" s="180" customFormat="1" ht="25.5" customHeight="1">
      <c r="B60" s="447" t="s">
        <v>85</v>
      </c>
      <c r="C60" s="509"/>
      <c r="D60" s="87"/>
      <c r="E60" s="87"/>
      <c r="F60" s="87"/>
      <c r="G60" s="212"/>
      <c r="H60" s="213"/>
      <c r="I60" s="155" t="str">
        <f>SUM(I41:I59)&amp;" st"</f>
        <v>0 st</v>
      </c>
      <c r="J60" s="155" t="str">
        <f>SUM(J41:J59)&amp;" st"</f>
        <v>0 st</v>
      </c>
      <c r="K60" s="155" t="str">
        <f>SUM(K41:K59)&amp;" st"</f>
        <v>0 st</v>
      </c>
      <c r="L60" s="156"/>
      <c r="M60" s="545">
        <f>SUM(M41:M59)</f>
        <v>0</v>
      </c>
      <c r="N60" s="88">
        <f>SUM(N41:N59)</f>
        <v>0</v>
      </c>
      <c r="P60" s="205"/>
      <c r="U60" s="188"/>
      <c r="W60" s="188"/>
    </row>
    <row r="61" spans="2:24" ht="25.5" customHeight="1">
      <c r="B61" s="449"/>
      <c r="C61" s="511"/>
      <c r="D61" s="17"/>
      <c r="E61" s="17"/>
      <c r="F61" s="234"/>
      <c r="G61" s="235"/>
      <c r="H61" s="236"/>
      <c r="I61" s="236"/>
      <c r="J61" s="236"/>
      <c r="K61" s="236"/>
      <c r="L61" s="234"/>
      <c r="M61" s="237"/>
      <c r="N61" s="237"/>
      <c r="P61" s="160"/>
      <c r="Q61" s="180"/>
      <c r="U61" s="188"/>
      <c r="V61" s="188"/>
      <c r="W61" s="214"/>
    </row>
    <row r="62" spans="2:24" ht="25.5" customHeight="1">
      <c r="B62" s="449"/>
      <c r="C62" s="511"/>
      <c r="D62" s="17"/>
      <c r="E62" s="17"/>
      <c r="F62" s="234"/>
      <c r="G62" s="235"/>
      <c r="H62" s="236"/>
      <c r="I62" s="236"/>
      <c r="J62" s="236"/>
      <c r="K62" s="236"/>
      <c r="L62" s="234"/>
      <c r="M62" s="237"/>
      <c r="N62" s="237"/>
      <c r="P62" s="160"/>
      <c r="Q62" s="180"/>
      <c r="U62" s="188"/>
      <c r="V62" s="188"/>
      <c r="W62" s="214"/>
    </row>
    <row r="63" spans="2:24" ht="25.5" customHeight="1">
      <c r="B63" s="450" t="s">
        <v>320</v>
      </c>
      <c r="C63" s="396"/>
      <c r="D63" s="396"/>
      <c r="E63" s="396"/>
      <c r="F63" s="396"/>
      <c r="G63" s="396"/>
      <c r="H63" s="238"/>
      <c r="I63" s="190"/>
      <c r="J63" s="190"/>
      <c r="L63" s="190"/>
      <c r="M63" s="239"/>
      <c r="N63" s="239"/>
      <c r="P63" s="160"/>
      <c r="U63" s="188"/>
      <c r="V63" s="188"/>
      <c r="W63" s="214"/>
    </row>
    <row r="64" spans="2:24" s="242" customFormat="1" ht="52">
      <c r="B64" s="444" t="s">
        <v>208</v>
      </c>
      <c r="C64" s="506" t="s">
        <v>318</v>
      </c>
      <c r="D64" s="12" t="s">
        <v>218</v>
      </c>
      <c r="E64" s="12" t="s">
        <v>11</v>
      </c>
      <c r="F64" s="99" t="s">
        <v>209</v>
      </c>
      <c r="G64" s="193" t="s">
        <v>210</v>
      </c>
      <c r="H64" s="193" t="s">
        <v>211</v>
      </c>
      <c r="I64" s="194" t="s">
        <v>212</v>
      </c>
      <c r="J64" s="194" t="s">
        <v>213</v>
      </c>
      <c r="K64" s="194" t="s">
        <v>214</v>
      </c>
      <c r="L64" s="195"/>
      <c r="M64" s="193" t="s">
        <v>215</v>
      </c>
      <c r="N64" s="193" t="s">
        <v>216</v>
      </c>
      <c r="O64" s="240"/>
      <c r="P64" s="241"/>
      <c r="Q64" s="240"/>
      <c r="R64" s="240"/>
      <c r="V64" s="243"/>
      <c r="W64" s="243"/>
      <c r="X64" s="244"/>
    </row>
    <row r="65" spans="2:24" s="242" customFormat="1" ht="25">
      <c r="B65" s="445" t="s">
        <v>321</v>
      </c>
      <c r="C65" s="39" t="s">
        <v>322</v>
      </c>
      <c r="D65" s="526">
        <v>1</v>
      </c>
      <c r="E65" s="526">
        <v>1</v>
      </c>
      <c r="F65" s="101">
        <v>10</v>
      </c>
      <c r="G65" s="431">
        <f t="shared" ref="G65:G81" si="8">H65/720</f>
        <v>0.2955416666666667</v>
      </c>
      <c r="H65" s="429">
        <f t="shared" ref="H65:H85" si="9">D65*IAAS_vcpu_SUNET+E65*IAAS_ram_SUNET+F65*IAAS_ssd_SUNET</f>
        <v>212.79000000000002</v>
      </c>
      <c r="I65" s="203"/>
      <c r="J65" s="203"/>
      <c r="K65" s="203"/>
      <c r="L65" s="200" t="s">
        <v>60</v>
      </c>
      <c r="M65" s="204">
        <f t="shared" ref="M65:M81" si="10">ROUNDUP(I65*H65,2)</f>
        <v>0</v>
      </c>
      <c r="N65" s="204">
        <f t="shared" ref="N65:N85" si="11">J65*D65*SW_win.ser.201X_SEK+K65*D65*SW_ms.sql.ser_SEK</f>
        <v>0</v>
      </c>
      <c r="O65" s="240"/>
      <c r="P65" s="241"/>
      <c r="Q65" s="240"/>
      <c r="R65" s="240"/>
      <c r="V65" s="243"/>
      <c r="W65" s="243"/>
      <c r="X65" s="244"/>
    </row>
    <row r="66" spans="2:24" s="242" customFormat="1" ht="25">
      <c r="B66" s="446" t="s">
        <v>323</v>
      </c>
      <c r="C66" s="41" t="s">
        <v>322</v>
      </c>
      <c r="D66" s="527">
        <v>1</v>
      </c>
      <c r="E66" s="527">
        <v>2</v>
      </c>
      <c r="F66" s="100">
        <v>20</v>
      </c>
      <c r="G66" s="430">
        <f t="shared" si="8"/>
        <v>0.45441666666666669</v>
      </c>
      <c r="H66" s="428">
        <f t="shared" si="9"/>
        <v>327.18</v>
      </c>
      <c r="I66" s="203"/>
      <c r="J66" s="203"/>
      <c r="K66" s="203"/>
      <c r="L66" s="206" t="s">
        <v>60</v>
      </c>
      <c r="M66" s="209">
        <f t="shared" si="10"/>
        <v>0</v>
      </c>
      <c r="N66" s="209">
        <f t="shared" si="11"/>
        <v>0</v>
      </c>
      <c r="O66" s="240"/>
      <c r="P66" s="241"/>
      <c r="Q66" s="240"/>
      <c r="R66" s="240"/>
      <c r="V66" s="243"/>
      <c r="W66" s="243"/>
      <c r="X66" s="244"/>
    </row>
    <row r="67" spans="2:24" s="242" customFormat="1" ht="25">
      <c r="B67" s="445" t="s">
        <v>324</v>
      </c>
      <c r="C67" s="39" t="s">
        <v>322</v>
      </c>
      <c r="D67" s="526">
        <v>2</v>
      </c>
      <c r="E67" s="526">
        <v>4</v>
      </c>
      <c r="F67" s="101">
        <v>250</v>
      </c>
      <c r="G67" s="431">
        <f t="shared" si="8"/>
        <v>2.2720833333333332</v>
      </c>
      <c r="H67" s="429">
        <f t="shared" si="9"/>
        <v>1635.8999999999999</v>
      </c>
      <c r="I67" s="203"/>
      <c r="J67" s="203"/>
      <c r="K67" s="203"/>
      <c r="L67" s="200" t="s">
        <v>60</v>
      </c>
      <c r="M67" s="204">
        <f t="shared" si="10"/>
        <v>0</v>
      </c>
      <c r="N67" s="204">
        <f t="shared" si="11"/>
        <v>0</v>
      </c>
      <c r="O67" s="240"/>
      <c r="P67" s="241"/>
      <c r="Q67" s="240"/>
      <c r="R67" s="240"/>
      <c r="V67" s="243"/>
      <c r="W67" s="243"/>
      <c r="X67" s="244"/>
    </row>
    <row r="68" spans="2:24" s="242" customFormat="1" ht="25">
      <c r="B68" s="446" t="s">
        <v>325</v>
      </c>
      <c r="C68" s="41" t="s">
        <v>322</v>
      </c>
      <c r="D68" s="527">
        <v>4</v>
      </c>
      <c r="E68" s="527">
        <v>8</v>
      </c>
      <c r="F68" s="100">
        <v>250</v>
      </c>
      <c r="G68" s="430">
        <f t="shared" si="8"/>
        <v>2.9212499999999997</v>
      </c>
      <c r="H68" s="428">
        <f t="shared" si="9"/>
        <v>2103.2999999999997</v>
      </c>
      <c r="I68" s="203"/>
      <c r="J68" s="203"/>
      <c r="K68" s="203"/>
      <c r="L68" s="206" t="s">
        <v>60</v>
      </c>
      <c r="M68" s="209">
        <f t="shared" si="10"/>
        <v>0</v>
      </c>
      <c r="N68" s="209">
        <f t="shared" si="11"/>
        <v>0</v>
      </c>
      <c r="O68" s="240"/>
      <c r="P68" s="241"/>
      <c r="Q68" s="240"/>
      <c r="R68" s="240"/>
      <c r="V68" s="243"/>
      <c r="W68" s="243"/>
      <c r="X68" s="244"/>
    </row>
    <row r="69" spans="2:24" s="242" customFormat="1" ht="25">
      <c r="B69" s="445" t="s">
        <v>326</v>
      </c>
      <c r="C69" s="39" t="s">
        <v>322</v>
      </c>
      <c r="D69" s="526">
        <v>8</v>
      </c>
      <c r="E69" s="526">
        <v>16</v>
      </c>
      <c r="F69" s="101">
        <v>250</v>
      </c>
      <c r="G69" s="431">
        <f t="shared" si="8"/>
        <v>4.2195833333333335</v>
      </c>
      <c r="H69" s="429">
        <f t="shared" si="9"/>
        <v>3038.1</v>
      </c>
      <c r="I69" s="203"/>
      <c r="J69" s="203"/>
      <c r="K69" s="203"/>
      <c r="L69" s="200" t="s">
        <v>60</v>
      </c>
      <c r="M69" s="204">
        <f t="shared" si="10"/>
        <v>0</v>
      </c>
      <c r="N69" s="204">
        <f t="shared" si="11"/>
        <v>0</v>
      </c>
      <c r="O69" s="240"/>
      <c r="P69" s="241"/>
      <c r="Q69" s="240"/>
      <c r="R69" s="240"/>
      <c r="V69" s="243"/>
      <c r="W69" s="243"/>
      <c r="X69" s="244"/>
    </row>
    <row r="70" spans="2:24" s="242" customFormat="1" ht="25">
      <c r="B70" s="446" t="s">
        <v>327</v>
      </c>
      <c r="C70" s="41" t="s">
        <v>322</v>
      </c>
      <c r="D70" s="527">
        <v>16</v>
      </c>
      <c r="E70" s="527">
        <v>32</v>
      </c>
      <c r="F70" s="100">
        <v>250</v>
      </c>
      <c r="G70" s="430">
        <f t="shared" si="8"/>
        <v>6.8162500000000001</v>
      </c>
      <c r="H70" s="428">
        <f t="shared" si="9"/>
        <v>4907.7</v>
      </c>
      <c r="I70" s="203"/>
      <c r="J70" s="203"/>
      <c r="K70" s="203"/>
      <c r="L70" s="206" t="s">
        <v>60</v>
      </c>
      <c r="M70" s="209">
        <f t="shared" si="10"/>
        <v>0</v>
      </c>
      <c r="N70" s="209">
        <f t="shared" si="11"/>
        <v>0</v>
      </c>
      <c r="O70" s="240"/>
      <c r="P70" s="241"/>
      <c r="Q70" s="240"/>
      <c r="R70" s="240"/>
      <c r="V70" s="243"/>
      <c r="W70" s="243"/>
      <c r="X70" s="244"/>
    </row>
    <row r="71" spans="2:24" s="242" customFormat="1" ht="25">
      <c r="B71" s="445" t="s">
        <v>328</v>
      </c>
      <c r="C71" s="39" t="s">
        <v>322</v>
      </c>
      <c r="D71" s="526">
        <v>16</v>
      </c>
      <c r="E71" s="526">
        <v>32</v>
      </c>
      <c r="F71" s="101">
        <v>500</v>
      </c>
      <c r="G71" s="431">
        <f t="shared" si="8"/>
        <v>8.4391666666666669</v>
      </c>
      <c r="H71" s="429">
        <f t="shared" si="9"/>
        <v>6076.2</v>
      </c>
      <c r="I71" s="203"/>
      <c r="J71" s="203"/>
      <c r="K71" s="203"/>
      <c r="L71" s="200" t="s">
        <v>60</v>
      </c>
      <c r="M71" s="204">
        <f t="shared" si="10"/>
        <v>0</v>
      </c>
      <c r="N71" s="204">
        <f t="shared" si="11"/>
        <v>0</v>
      </c>
      <c r="O71" s="240"/>
      <c r="P71" s="241"/>
      <c r="Q71" s="240"/>
      <c r="R71" s="240"/>
      <c r="V71" s="243"/>
      <c r="W71" s="243"/>
      <c r="X71" s="244"/>
    </row>
    <row r="72" spans="2:24" s="242" customFormat="1" ht="25">
      <c r="B72" s="446" t="s">
        <v>329</v>
      </c>
      <c r="C72" s="41" t="s">
        <v>322</v>
      </c>
      <c r="D72" s="527">
        <v>16</v>
      </c>
      <c r="E72" s="527">
        <v>32</v>
      </c>
      <c r="F72" s="100">
        <v>1000</v>
      </c>
      <c r="G72" s="430">
        <f t="shared" si="8"/>
        <v>11.684999999999999</v>
      </c>
      <c r="H72" s="428">
        <f t="shared" si="9"/>
        <v>8413.1999999999989</v>
      </c>
      <c r="I72" s="203"/>
      <c r="J72" s="203"/>
      <c r="K72" s="203"/>
      <c r="L72" s="206" t="s">
        <v>60</v>
      </c>
      <c r="M72" s="209">
        <f t="shared" si="10"/>
        <v>0</v>
      </c>
      <c r="N72" s="209">
        <f t="shared" si="11"/>
        <v>0</v>
      </c>
      <c r="O72" s="240"/>
      <c r="P72" s="241"/>
      <c r="Q72" s="240"/>
      <c r="R72" s="240"/>
      <c r="V72" s="243"/>
      <c r="W72" s="243"/>
      <c r="X72" s="244"/>
    </row>
    <row r="73" spans="2:24" s="242" customFormat="1" ht="25">
      <c r="B73" s="445" t="s">
        <v>330</v>
      </c>
      <c r="C73" s="39" t="s">
        <v>322</v>
      </c>
      <c r="D73" s="526">
        <v>32</v>
      </c>
      <c r="E73" s="526">
        <v>65</v>
      </c>
      <c r="F73" s="101">
        <v>250</v>
      </c>
      <c r="G73" s="431">
        <f t="shared" si="8"/>
        <v>12.103541666666665</v>
      </c>
      <c r="H73" s="429">
        <f t="shared" si="9"/>
        <v>8714.5499999999993</v>
      </c>
      <c r="I73" s="203"/>
      <c r="J73" s="203"/>
      <c r="K73" s="203"/>
      <c r="L73" s="200" t="s">
        <v>60</v>
      </c>
      <c r="M73" s="204">
        <f t="shared" si="10"/>
        <v>0</v>
      </c>
      <c r="N73" s="204">
        <f t="shared" si="11"/>
        <v>0</v>
      </c>
      <c r="O73" s="240"/>
      <c r="P73" s="241"/>
      <c r="Q73" s="240"/>
      <c r="R73" s="240"/>
      <c r="V73" s="243"/>
      <c r="W73" s="243"/>
      <c r="X73" s="244"/>
    </row>
    <row r="74" spans="2:24" s="242" customFormat="1" ht="25">
      <c r="B74" s="446" t="s">
        <v>331</v>
      </c>
      <c r="C74" s="41" t="s">
        <v>322</v>
      </c>
      <c r="D74" s="527">
        <v>32</v>
      </c>
      <c r="E74" s="527">
        <v>65</v>
      </c>
      <c r="F74" s="100">
        <v>500</v>
      </c>
      <c r="G74" s="430">
        <f t="shared" si="8"/>
        <v>13.726458333333332</v>
      </c>
      <c r="H74" s="428">
        <f t="shared" si="9"/>
        <v>9883.0499999999993</v>
      </c>
      <c r="I74" s="203"/>
      <c r="J74" s="203"/>
      <c r="K74" s="203"/>
      <c r="L74" s="206" t="s">
        <v>60</v>
      </c>
      <c r="M74" s="209">
        <f t="shared" si="10"/>
        <v>0</v>
      </c>
      <c r="N74" s="209">
        <f t="shared" si="11"/>
        <v>0</v>
      </c>
      <c r="O74" s="240"/>
      <c r="P74" s="241"/>
      <c r="Q74" s="240"/>
      <c r="R74" s="240"/>
      <c r="V74" s="243"/>
      <c r="W74" s="243"/>
      <c r="X74" s="244"/>
    </row>
    <row r="75" spans="2:24" s="242" customFormat="1" ht="25">
      <c r="B75" s="445" t="s">
        <v>332</v>
      </c>
      <c r="C75" s="39" t="s">
        <v>322</v>
      </c>
      <c r="D75" s="526">
        <v>32</v>
      </c>
      <c r="E75" s="526">
        <v>65</v>
      </c>
      <c r="F75" s="101">
        <v>1000</v>
      </c>
      <c r="G75" s="431">
        <f t="shared" si="8"/>
        <v>16.972291666666667</v>
      </c>
      <c r="H75" s="429">
        <f t="shared" si="9"/>
        <v>12220.05</v>
      </c>
      <c r="I75" s="203"/>
      <c r="J75" s="203"/>
      <c r="K75" s="203"/>
      <c r="L75" s="200" t="s">
        <v>60</v>
      </c>
      <c r="M75" s="204">
        <f t="shared" si="10"/>
        <v>0</v>
      </c>
      <c r="N75" s="204">
        <f t="shared" si="11"/>
        <v>0</v>
      </c>
      <c r="O75" s="240"/>
      <c r="P75" s="241"/>
      <c r="Q75" s="240"/>
      <c r="R75" s="240"/>
      <c r="V75" s="243"/>
      <c r="W75" s="243"/>
      <c r="X75" s="244"/>
    </row>
    <row r="76" spans="2:24" s="242" customFormat="1" ht="25">
      <c r="B76" s="446" t="s">
        <v>333</v>
      </c>
      <c r="C76" s="41" t="s">
        <v>322</v>
      </c>
      <c r="D76" s="527">
        <v>1</v>
      </c>
      <c r="E76" s="527">
        <v>4</v>
      </c>
      <c r="F76" s="100">
        <v>20</v>
      </c>
      <c r="G76" s="430">
        <f t="shared" si="8"/>
        <v>0.64233333333333331</v>
      </c>
      <c r="H76" s="428">
        <f t="shared" si="9"/>
        <v>462.48</v>
      </c>
      <c r="I76" s="203"/>
      <c r="J76" s="203"/>
      <c r="K76" s="203"/>
      <c r="L76" s="206" t="s">
        <v>60</v>
      </c>
      <c r="M76" s="209">
        <f t="shared" si="10"/>
        <v>0</v>
      </c>
      <c r="N76" s="209">
        <f t="shared" si="11"/>
        <v>0</v>
      </c>
      <c r="O76" s="240"/>
      <c r="P76" s="241"/>
      <c r="Q76" s="240"/>
      <c r="R76" s="240"/>
      <c r="V76" s="243"/>
      <c r="W76" s="243"/>
      <c r="X76" s="244"/>
    </row>
    <row r="77" spans="2:24" s="242" customFormat="1" ht="25">
      <c r="B77" s="445" t="s">
        <v>334</v>
      </c>
      <c r="C77" s="39" t="s">
        <v>322</v>
      </c>
      <c r="D77" s="526">
        <v>2</v>
      </c>
      <c r="E77" s="526">
        <v>8</v>
      </c>
      <c r="F77" s="101">
        <v>250</v>
      </c>
      <c r="G77" s="431">
        <f t="shared" si="8"/>
        <v>2.6479166666666663</v>
      </c>
      <c r="H77" s="429">
        <f t="shared" si="9"/>
        <v>1906.4999999999998</v>
      </c>
      <c r="I77" s="203"/>
      <c r="J77" s="203"/>
      <c r="K77" s="203"/>
      <c r="L77" s="200" t="s">
        <v>60</v>
      </c>
      <c r="M77" s="204">
        <f t="shared" si="10"/>
        <v>0</v>
      </c>
      <c r="N77" s="204">
        <f t="shared" si="11"/>
        <v>0</v>
      </c>
      <c r="O77" s="240"/>
      <c r="P77" s="241"/>
      <c r="Q77" s="240"/>
      <c r="R77" s="240"/>
      <c r="V77" s="243"/>
      <c r="W77" s="243"/>
      <c r="X77" s="244"/>
    </row>
    <row r="78" spans="2:24" s="242" customFormat="1" ht="25">
      <c r="B78" s="446" t="s">
        <v>335</v>
      </c>
      <c r="C78" s="41" t="s">
        <v>322</v>
      </c>
      <c r="D78" s="527">
        <v>4</v>
      </c>
      <c r="E78" s="527">
        <v>16</v>
      </c>
      <c r="F78" s="100">
        <v>250</v>
      </c>
      <c r="G78" s="430">
        <f t="shared" si="8"/>
        <v>3.6729166666666666</v>
      </c>
      <c r="H78" s="428">
        <f t="shared" si="9"/>
        <v>2644.5</v>
      </c>
      <c r="I78" s="203"/>
      <c r="J78" s="203"/>
      <c r="K78" s="203"/>
      <c r="L78" s="206" t="s">
        <v>60</v>
      </c>
      <c r="M78" s="209">
        <f t="shared" si="10"/>
        <v>0</v>
      </c>
      <c r="N78" s="209">
        <f t="shared" si="11"/>
        <v>0</v>
      </c>
      <c r="O78" s="240"/>
      <c r="P78" s="241"/>
      <c r="Q78" s="240"/>
      <c r="R78" s="240"/>
      <c r="V78" s="243"/>
      <c r="W78" s="243"/>
      <c r="X78" s="244"/>
    </row>
    <row r="79" spans="2:24" s="242" customFormat="1" ht="25">
      <c r="B79" s="445" t="s">
        <v>336</v>
      </c>
      <c r="C79" s="39" t="s">
        <v>322</v>
      </c>
      <c r="D79" s="526">
        <v>8</v>
      </c>
      <c r="E79" s="526">
        <v>32</v>
      </c>
      <c r="F79" s="101">
        <v>250</v>
      </c>
      <c r="G79" s="431">
        <f t="shared" si="8"/>
        <v>5.7229166666666664</v>
      </c>
      <c r="H79" s="429">
        <f t="shared" si="9"/>
        <v>4120.5</v>
      </c>
      <c r="I79" s="203"/>
      <c r="J79" s="203"/>
      <c r="K79" s="203"/>
      <c r="L79" s="200" t="s">
        <v>60</v>
      </c>
      <c r="M79" s="204">
        <f t="shared" si="10"/>
        <v>0</v>
      </c>
      <c r="N79" s="204">
        <f t="shared" si="11"/>
        <v>0</v>
      </c>
      <c r="O79" s="240"/>
      <c r="P79" s="241"/>
      <c r="Q79" s="240"/>
      <c r="R79" s="240"/>
      <c r="V79" s="243"/>
      <c r="W79" s="243"/>
      <c r="X79" s="244"/>
    </row>
    <row r="80" spans="2:24" s="242" customFormat="1" ht="25">
      <c r="B80" s="446" t="s">
        <v>337</v>
      </c>
      <c r="C80" s="41" t="s">
        <v>322</v>
      </c>
      <c r="D80" s="527">
        <v>16</v>
      </c>
      <c r="E80" s="527">
        <v>65</v>
      </c>
      <c r="F80" s="100">
        <v>250</v>
      </c>
      <c r="G80" s="430">
        <f t="shared" si="8"/>
        <v>9.9168749999999992</v>
      </c>
      <c r="H80" s="428">
        <f t="shared" si="9"/>
        <v>7140.15</v>
      </c>
      <c r="I80" s="203"/>
      <c r="J80" s="203"/>
      <c r="K80" s="203"/>
      <c r="L80" s="206" t="s">
        <v>60</v>
      </c>
      <c r="M80" s="209">
        <f t="shared" si="10"/>
        <v>0</v>
      </c>
      <c r="N80" s="209">
        <f t="shared" si="11"/>
        <v>0</v>
      </c>
      <c r="O80" s="240"/>
      <c r="P80" s="241"/>
      <c r="Q80" s="240"/>
      <c r="R80" s="240"/>
      <c r="V80" s="243"/>
      <c r="W80" s="243"/>
      <c r="X80" s="244"/>
    </row>
    <row r="81" spans="2:24" s="242" customFormat="1" ht="25">
      <c r="B81" s="445" t="s">
        <v>338</v>
      </c>
      <c r="C81" s="39" t="s">
        <v>322</v>
      </c>
      <c r="D81" s="526">
        <v>16</v>
      </c>
      <c r="E81" s="526">
        <v>65</v>
      </c>
      <c r="F81" s="101">
        <v>500</v>
      </c>
      <c r="G81" s="431">
        <f t="shared" si="8"/>
        <v>11.539791666666666</v>
      </c>
      <c r="H81" s="429">
        <f t="shared" si="9"/>
        <v>8308.65</v>
      </c>
      <c r="I81" s="203"/>
      <c r="J81" s="203"/>
      <c r="K81" s="203"/>
      <c r="L81" s="200" t="s">
        <v>60</v>
      </c>
      <c r="M81" s="204">
        <f t="shared" si="10"/>
        <v>0</v>
      </c>
      <c r="N81" s="204">
        <f t="shared" si="11"/>
        <v>0</v>
      </c>
      <c r="O81" s="240"/>
      <c r="P81" s="241"/>
      <c r="Q81" s="240"/>
      <c r="R81" s="240"/>
      <c r="V81" s="243"/>
      <c r="W81" s="243"/>
      <c r="X81" s="244"/>
    </row>
    <row r="82" spans="2:24" s="242" customFormat="1" ht="25">
      <c r="B82" s="446" t="s">
        <v>339</v>
      </c>
      <c r="C82" s="41" t="s">
        <v>322</v>
      </c>
      <c r="D82" s="527">
        <v>16</v>
      </c>
      <c r="E82" s="527">
        <v>65</v>
      </c>
      <c r="F82" s="100">
        <v>1000</v>
      </c>
      <c r="G82" s="430">
        <f>H82/720</f>
        <v>14.785624999999998</v>
      </c>
      <c r="H82" s="428">
        <f t="shared" si="9"/>
        <v>10645.649999999998</v>
      </c>
      <c r="I82" s="203"/>
      <c r="J82" s="203"/>
      <c r="K82" s="203"/>
      <c r="L82" s="206" t="s">
        <v>60</v>
      </c>
      <c r="M82" s="209">
        <f t="shared" ref="M82:M85" si="12">ROUNDUP(I82*H82,2)</f>
        <v>0</v>
      </c>
      <c r="N82" s="209">
        <f t="shared" si="11"/>
        <v>0</v>
      </c>
      <c r="O82" s="240"/>
      <c r="P82" s="241"/>
      <c r="Q82" s="240"/>
      <c r="R82" s="240"/>
      <c r="V82" s="243"/>
      <c r="W82" s="243"/>
      <c r="X82" s="244"/>
    </row>
    <row r="83" spans="2:24" s="242" customFormat="1" ht="25">
      <c r="B83" s="445" t="s">
        <v>340</v>
      </c>
      <c r="C83" s="39" t="s">
        <v>322</v>
      </c>
      <c r="D83" s="526">
        <v>32</v>
      </c>
      <c r="E83" s="526">
        <v>131</v>
      </c>
      <c r="F83" s="101">
        <v>250</v>
      </c>
      <c r="G83" s="431">
        <f t="shared" ref="G83:G85" si="13">H83/720</f>
        <v>18.304791666666667</v>
      </c>
      <c r="H83" s="429">
        <f t="shared" si="9"/>
        <v>13179.45</v>
      </c>
      <c r="I83" s="203"/>
      <c r="J83" s="203"/>
      <c r="K83" s="203"/>
      <c r="L83" s="200" t="s">
        <v>60</v>
      </c>
      <c r="M83" s="204">
        <f t="shared" si="12"/>
        <v>0</v>
      </c>
      <c r="N83" s="204">
        <f t="shared" si="11"/>
        <v>0</v>
      </c>
      <c r="O83" s="240"/>
      <c r="P83" s="241"/>
      <c r="Q83" s="240"/>
      <c r="R83" s="240"/>
      <c r="V83" s="243"/>
      <c r="W83" s="243"/>
      <c r="X83" s="244"/>
    </row>
    <row r="84" spans="2:24" s="242" customFormat="1" ht="25">
      <c r="B84" s="446" t="s">
        <v>341</v>
      </c>
      <c r="C84" s="41" t="s">
        <v>322</v>
      </c>
      <c r="D84" s="527">
        <v>32</v>
      </c>
      <c r="E84" s="527">
        <v>131</v>
      </c>
      <c r="F84" s="100">
        <v>500</v>
      </c>
      <c r="G84" s="430">
        <f t="shared" si="13"/>
        <v>19.927708333333335</v>
      </c>
      <c r="H84" s="428">
        <f t="shared" si="9"/>
        <v>14347.95</v>
      </c>
      <c r="I84" s="203"/>
      <c r="J84" s="203"/>
      <c r="K84" s="203"/>
      <c r="L84" s="206" t="s">
        <v>60</v>
      </c>
      <c r="M84" s="209">
        <f t="shared" si="12"/>
        <v>0</v>
      </c>
      <c r="N84" s="209">
        <f t="shared" si="11"/>
        <v>0</v>
      </c>
      <c r="O84" s="240"/>
      <c r="P84" s="241"/>
      <c r="Q84" s="240"/>
      <c r="R84" s="240"/>
      <c r="V84" s="243"/>
      <c r="W84" s="243"/>
      <c r="X84" s="244"/>
    </row>
    <row r="85" spans="2:24" s="242" customFormat="1" ht="25">
      <c r="B85" s="445" t="s">
        <v>342</v>
      </c>
      <c r="C85" s="39" t="s">
        <v>322</v>
      </c>
      <c r="D85" s="526">
        <v>32</v>
      </c>
      <c r="E85" s="526">
        <v>131</v>
      </c>
      <c r="F85" s="101">
        <v>1000</v>
      </c>
      <c r="G85" s="431">
        <f t="shared" si="13"/>
        <v>23.173541666666669</v>
      </c>
      <c r="H85" s="429">
        <f t="shared" si="9"/>
        <v>16684.95</v>
      </c>
      <c r="I85" s="203"/>
      <c r="J85" s="203"/>
      <c r="K85" s="203"/>
      <c r="L85" s="200" t="s">
        <v>60</v>
      </c>
      <c r="M85" s="204">
        <f t="shared" si="12"/>
        <v>0</v>
      </c>
      <c r="N85" s="204">
        <f t="shared" si="11"/>
        <v>0</v>
      </c>
      <c r="O85" s="240"/>
      <c r="P85" s="241"/>
      <c r="Q85" s="240"/>
      <c r="R85" s="240"/>
      <c r="V85" s="243"/>
      <c r="W85" s="243"/>
      <c r="X85" s="244"/>
    </row>
    <row r="86" spans="2:24" s="249" customFormat="1" ht="25.5" customHeight="1">
      <c r="B86" s="447" t="s">
        <v>343</v>
      </c>
      <c r="C86" s="509"/>
      <c r="D86" s="87"/>
      <c r="E86" s="87"/>
      <c r="F86" s="211"/>
      <c r="G86" s="212"/>
      <c r="H86" s="213"/>
      <c r="I86" s="155" t="str">
        <f>SUM(I65:I85)&amp;" st"</f>
        <v>0 st</v>
      </c>
      <c r="J86" s="155" t="str">
        <f>SUM(J65:J85)&amp;" st"</f>
        <v>0 st</v>
      </c>
      <c r="K86" s="155" t="str">
        <f>SUM(K65:K85)&amp;" st"</f>
        <v>0 st</v>
      </c>
      <c r="L86" s="156"/>
      <c r="M86" s="545">
        <f>SUM(M65:M85)</f>
        <v>0</v>
      </c>
      <c r="N86" s="545">
        <f>SUM(N65:N85)</f>
        <v>0</v>
      </c>
      <c r="O86" s="49"/>
      <c r="P86" s="245"/>
      <c r="Q86" s="246"/>
      <c r="R86" s="246"/>
      <c r="S86" s="246"/>
      <c r="T86" s="246"/>
      <c r="U86" s="247"/>
      <c r="V86" s="246"/>
      <c r="W86" s="248"/>
    </row>
    <row r="87" spans="2:24" s="180" customFormat="1" ht="25.5" customHeight="1">
      <c r="B87" s="448"/>
      <c r="C87" s="512"/>
      <c r="D87" s="20"/>
      <c r="E87" s="19"/>
      <c r="F87" s="250"/>
      <c r="G87" s="250"/>
      <c r="H87" s="189"/>
      <c r="I87" s="189"/>
      <c r="J87" s="189"/>
      <c r="K87" s="251"/>
      <c r="L87" s="189"/>
      <c r="M87" s="252"/>
      <c r="N87" s="252"/>
      <c r="P87" s="205"/>
      <c r="U87" s="188"/>
      <c r="W87" s="188"/>
    </row>
    <row r="88" spans="2:24" s="180" customFormat="1" ht="25.5" customHeight="1">
      <c r="B88" s="448"/>
      <c r="C88" s="512"/>
      <c r="D88" s="20"/>
      <c r="E88" s="19"/>
      <c r="F88" s="250"/>
      <c r="G88" s="250"/>
      <c r="H88" s="189"/>
      <c r="I88" s="189"/>
      <c r="J88" s="189"/>
      <c r="K88" s="251"/>
      <c r="L88" s="189"/>
      <c r="M88" s="252"/>
      <c r="N88" s="252"/>
      <c r="P88" s="205"/>
      <c r="U88" s="188"/>
      <c r="W88" s="188"/>
    </row>
    <row r="89" spans="2:24" s="223" customFormat="1" ht="31">
      <c r="B89" s="416" t="s">
        <v>58</v>
      </c>
      <c r="C89" s="22"/>
      <c r="D89" s="22"/>
      <c r="E89" s="22"/>
      <c r="F89" s="253"/>
      <c r="G89" s="253"/>
      <c r="H89" s="189"/>
      <c r="I89" s="189"/>
      <c r="J89" s="189"/>
      <c r="K89" s="251"/>
      <c r="L89" s="189"/>
      <c r="M89" s="252"/>
      <c r="N89" s="252"/>
      <c r="P89" s="224"/>
      <c r="Q89" s="189"/>
      <c r="R89" s="189"/>
      <c r="S89" s="189"/>
      <c r="T89" s="189"/>
      <c r="U89" s="225"/>
      <c r="V89" s="189"/>
      <c r="W89" s="226"/>
    </row>
    <row r="90" spans="2:24" s="242" customFormat="1" ht="47">
      <c r="B90" s="444" t="s">
        <v>208</v>
      </c>
      <c r="C90" s="12" t="s">
        <v>218</v>
      </c>
      <c r="D90" s="12" t="s">
        <v>11</v>
      </c>
      <c r="E90" s="12" t="s">
        <v>32</v>
      </c>
      <c r="F90" s="254"/>
      <c r="G90" s="193" t="s">
        <v>210</v>
      </c>
      <c r="H90" s="193" t="s">
        <v>211</v>
      </c>
      <c r="I90" s="255" t="s">
        <v>212</v>
      </c>
      <c r="J90" s="255" t="s">
        <v>213</v>
      </c>
      <c r="K90" s="255" t="s">
        <v>214</v>
      </c>
      <c r="L90" s="195"/>
      <c r="M90" s="193" t="s">
        <v>215</v>
      </c>
      <c r="N90" s="193" t="s">
        <v>216</v>
      </c>
      <c r="O90" s="240"/>
      <c r="P90" s="241"/>
      <c r="Q90" s="240"/>
      <c r="R90" s="240"/>
      <c r="V90" s="243"/>
      <c r="W90" s="243"/>
      <c r="X90" s="244"/>
    </row>
    <row r="91" spans="2:24" s="180" customFormat="1" ht="25.5" customHeight="1">
      <c r="B91" s="134" t="s">
        <v>59</v>
      </c>
      <c r="C91" s="89">
        <v>16</v>
      </c>
      <c r="D91" s="89">
        <v>128</v>
      </c>
      <c r="E91" s="521">
        <v>3800</v>
      </c>
      <c r="F91" s="256"/>
      <c r="G91" s="232">
        <f t="shared" ref="G91:G93" si="14">H91/720</f>
        <v>9.5</v>
      </c>
      <c r="H91" s="233">
        <f>INSTANCE_p1.2xlarge.16d_SEK</f>
        <v>6840</v>
      </c>
      <c r="I91" s="203">
        <v>0</v>
      </c>
      <c r="J91" s="203">
        <v>0</v>
      </c>
      <c r="K91" s="203">
        <v>0</v>
      </c>
      <c r="L91" s="200" t="s">
        <v>60</v>
      </c>
      <c r="M91" s="204">
        <f t="shared" ref="M91:M93" si="15">ROUNDUP(I91*H91,2)</f>
        <v>0</v>
      </c>
      <c r="N91" s="204">
        <f>J91*C91*SW_win.ser.201X_SEK+K91*C91*SW_ms.sql.ser_SEK</f>
        <v>0</v>
      </c>
      <c r="O91" s="189"/>
      <c r="P91" s="205"/>
    </row>
    <row r="92" spans="2:24" s="180" customFormat="1" ht="25.5" customHeight="1">
      <c r="B92" s="137" t="s">
        <v>61</v>
      </c>
      <c r="C92" s="90">
        <v>32</v>
      </c>
      <c r="D92" s="90">
        <v>256</v>
      </c>
      <c r="E92" s="522">
        <v>3800</v>
      </c>
      <c r="F92" s="257"/>
      <c r="G92" s="229">
        <f t="shared" si="14"/>
        <v>19</v>
      </c>
      <c r="H92" s="230">
        <f>INSTANCE_p1.4xlarge.16d_SEK</f>
        <v>13680</v>
      </c>
      <c r="I92" s="203">
        <v>0</v>
      </c>
      <c r="J92" s="203">
        <v>0</v>
      </c>
      <c r="K92" s="203">
        <v>0</v>
      </c>
      <c r="L92" s="206" t="str">
        <f t="shared" ref="L92" si="16">L91</f>
        <v>Instanser</v>
      </c>
      <c r="M92" s="209">
        <f t="shared" si="15"/>
        <v>0</v>
      </c>
      <c r="N92" s="209">
        <f>J92*C92*SW_win.ser.201X_SEK+K92*C92*SW_ms.sql.ser_SEK</f>
        <v>0</v>
      </c>
      <c r="O92" s="189"/>
      <c r="P92" s="205"/>
      <c r="X92" s="188"/>
    </row>
    <row r="93" spans="2:24" s="246" customFormat="1" ht="25.5" customHeight="1">
      <c r="B93" s="451" t="s">
        <v>62</v>
      </c>
      <c r="C93" s="91">
        <v>64</v>
      </c>
      <c r="D93" s="91">
        <v>512</v>
      </c>
      <c r="E93" s="523">
        <v>7600</v>
      </c>
      <c r="F93" s="258"/>
      <c r="G93" s="259">
        <f t="shared" si="14"/>
        <v>38</v>
      </c>
      <c r="H93" s="260">
        <f>INSTANCE_p1.8xlarge.32d_SEK</f>
        <v>27360</v>
      </c>
      <c r="I93" s="203">
        <v>0</v>
      </c>
      <c r="J93" s="203">
        <v>0</v>
      </c>
      <c r="K93" s="203">
        <v>0</v>
      </c>
      <c r="L93" s="200" t="s">
        <v>60</v>
      </c>
      <c r="M93" s="204">
        <f t="shared" si="15"/>
        <v>0</v>
      </c>
      <c r="N93" s="204">
        <f>J93*C93*SW_win.ser.201X_SEK+K93*C93*SW_ms.sql.ser_SEK</f>
        <v>0</v>
      </c>
      <c r="O93" s="261"/>
      <c r="P93" s="262"/>
    </row>
    <row r="94" spans="2:24" ht="25.5" customHeight="1">
      <c r="B94" s="448" t="s">
        <v>85</v>
      </c>
      <c r="C94" s="510"/>
      <c r="D94" s="19"/>
      <c r="E94" s="19"/>
      <c r="F94" s="246"/>
      <c r="G94" s="246"/>
      <c r="H94" s="246"/>
      <c r="I94" s="155" t="str">
        <f>SUM(I91:I93)&amp;" st"</f>
        <v>0 st</v>
      </c>
      <c r="J94" s="155" t="str">
        <f>SUM(J91:J93)&amp;" st"</f>
        <v>0 st</v>
      </c>
      <c r="K94" s="155" t="str">
        <f>SUM(K91:K93)&amp;" st"</f>
        <v>0 st</v>
      </c>
      <c r="L94" s="156"/>
      <c r="M94" s="545">
        <f>SUM(M91:M93)</f>
        <v>0</v>
      </c>
      <c r="N94" s="88">
        <f>SUM(N91:N93)</f>
        <v>0</v>
      </c>
      <c r="P94" s="160"/>
    </row>
    <row r="95" spans="2:24" ht="25.5" customHeight="1">
      <c r="B95" s="452"/>
      <c r="C95" s="513"/>
      <c r="D95" s="76"/>
      <c r="E95" s="76"/>
      <c r="F95" s="263"/>
      <c r="G95" s="263"/>
      <c r="H95" s="246"/>
      <c r="I95" s="264"/>
      <c r="J95" s="264"/>
      <c r="K95" s="264"/>
      <c r="L95" s="218"/>
      <c r="M95" s="48"/>
      <c r="N95" s="49"/>
      <c r="P95" s="160"/>
    </row>
    <row r="96" spans="2:24" s="180" customFormat="1" ht="25.5" customHeight="1">
      <c r="B96" s="453"/>
      <c r="C96" s="512"/>
      <c r="D96" s="20"/>
      <c r="E96" s="20"/>
      <c r="F96" s="250"/>
      <c r="G96" s="250"/>
      <c r="H96" s="189"/>
      <c r="I96" s="189"/>
      <c r="J96" s="189"/>
      <c r="K96" s="251"/>
      <c r="L96" s="189"/>
      <c r="M96" s="252"/>
      <c r="N96" s="252"/>
      <c r="P96" s="205"/>
      <c r="U96" s="188"/>
      <c r="W96" s="188"/>
    </row>
    <row r="97" spans="2:25" ht="25.5" customHeight="1">
      <c r="B97" s="416" t="s">
        <v>219</v>
      </c>
      <c r="C97" s="22"/>
      <c r="D97" s="22"/>
      <c r="E97" s="22"/>
      <c r="F97" s="253"/>
      <c r="G97" s="253"/>
      <c r="H97" s="189"/>
      <c r="I97" s="189"/>
      <c r="J97" s="189"/>
      <c r="K97" s="251"/>
      <c r="L97" s="189"/>
      <c r="M97" s="252"/>
      <c r="N97" s="252"/>
      <c r="P97" s="160"/>
      <c r="Q97" s="180"/>
      <c r="R97" s="180"/>
      <c r="S97" s="180"/>
      <c r="T97" s="180"/>
      <c r="U97" s="188"/>
      <c r="V97" s="180"/>
      <c r="W97" s="214"/>
    </row>
    <row r="98" spans="2:25" s="268" customFormat="1" ht="35.25" customHeight="1">
      <c r="B98" s="444" t="s">
        <v>208</v>
      </c>
      <c r="C98" s="24" t="s">
        <v>220</v>
      </c>
      <c r="D98" s="24"/>
      <c r="E98" s="131" t="s">
        <v>210</v>
      </c>
      <c r="F98" s="1013" t="s">
        <v>221</v>
      </c>
      <c r="G98" s="1013"/>
      <c r="H98" s="1027"/>
      <c r="I98" s="1027"/>
      <c r="J98" s="266" t="s">
        <v>66</v>
      </c>
      <c r="K98" s="265"/>
      <c r="L98" s="265"/>
      <c r="M98" s="265"/>
      <c r="N98" s="537"/>
      <c r="O98" s="199"/>
      <c r="P98" s="267"/>
      <c r="R98" s="199"/>
      <c r="S98" s="199"/>
      <c r="W98" s="269"/>
      <c r="X98" s="269"/>
      <c r="Y98" s="270"/>
    </row>
    <row r="99" spans="2:25" s="180" customFormat="1" ht="25.5" customHeight="1">
      <c r="B99" s="134" t="s">
        <v>67</v>
      </c>
      <c r="C99" s="39" t="s">
        <v>71</v>
      </c>
      <c r="D99" s="78"/>
      <c r="E99" s="524">
        <f>F99/720</f>
        <v>1.6666666666666666E-3</v>
      </c>
      <c r="F99" s="1074">
        <f>VOLUME_large_SEK</f>
        <v>1.2</v>
      </c>
      <c r="G99" s="1074"/>
      <c r="H99" s="1077"/>
      <c r="I99" s="1077"/>
      <c r="J99" s="271"/>
      <c r="K99" s="472" t="s">
        <v>69</v>
      </c>
      <c r="L99" s="272"/>
      <c r="M99" s="273"/>
      <c r="N99" s="274">
        <f>ROUNDUP(J99*F99,2)</f>
        <v>0</v>
      </c>
      <c r="O99" s="189"/>
      <c r="P99" s="205"/>
    </row>
    <row r="100" spans="2:25" s="180" customFormat="1" ht="25.5" customHeight="1">
      <c r="B100" s="137" t="s">
        <v>70</v>
      </c>
      <c r="C100" s="41" t="s">
        <v>68</v>
      </c>
      <c r="D100" s="79"/>
      <c r="E100" s="525">
        <f>F100/720</f>
        <v>5.0000000000000001E-3</v>
      </c>
      <c r="F100" s="1072">
        <f>VOLUME_fast_SEK</f>
        <v>3.6</v>
      </c>
      <c r="G100" s="1072"/>
      <c r="H100" s="1079"/>
      <c r="I100" s="1079"/>
      <c r="J100" s="275">
        <v>0</v>
      </c>
      <c r="K100" s="473" t="s">
        <v>69</v>
      </c>
      <c r="L100" s="276"/>
      <c r="N100" s="277">
        <f>ROUNDUP(J100*F100,2)</f>
        <v>0</v>
      </c>
      <c r="O100" s="189"/>
      <c r="P100" s="205"/>
      <c r="Y100" s="188"/>
    </row>
    <row r="101" spans="2:25" ht="25.5" customHeight="1">
      <c r="B101" s="447" t="s">
        <v>222</v>
      </c>
      <c r="C101" s="509"/>
      <c r="D101" s="87"/>
      <c r="E101" s="87"/>
      <c r="F101" s="212"/>
      <c r="G101" s="213"/>
      <c r="H101" s="213"/>
      <c r="I101" s="278"/>
      <c r="J101" s="279" t="str">
        <f>SUM(J99:J100)&amp;" GB"</f>
        <v>0 GB</v>
      </c>
      <c r="K101" s="280"/>
      <c r="L101" s="213"/>
      <c r="M101" s="213"/>
      <c r="N101" s="88">
        <f>SUM(N99:N100)</f>
        <v>0</v>
      </c>
      <c r="P101" s="160"/>
    </row>
    <row r="102" spans="2:25" ht="25.5" customHeight="1">
      <c r="B102" s="75"/>
      <c r="C102" s="513"/>
      <c r="D102" s="76"/>
      <c r="E102" s="76"/>
      <c r="F102" s="263"/>
      <c r="G102" s="263"/>
      <c r="H102" s="281"/>
      <c r="I102" s="281"/>
      <c r="J102" s="281"/>
      <c r="K102" s="282"/>
      <c r="L102" s="283"/>
      <c r="M102" s="284"/>
      <c r="N102" s="284"/>
      <c r="P102" s="160"/>
    </row>
    <row r="103" spans="2:25" ht="25.5" customHeight="1">
      <c r="B103" s="75"/>
      <c r="C103" s="513"/>
      <c r="D103" s="76"/>
      <c r="E103" s="76"/>
      <c r="F103" s="263"/>
      <c r="G103" s="263"/>
      <c r="H103" s="281"/>
      <c r="I103" s="281"/>
      <c r="J103" s="281"/>
      <c r="K103" s="282"/>
      <c r="L103" s="283"/>
      <c r="M103" s="284"/>
      <c r="N103" s="284"/>
      <c r="P103" s="160"/>
    </row>
    <row r="104" spans="2:25" s="169" customFormat="1" ht="25.5" customHeight="1">
      <c r="B104" s="75"/>
      <c r="C104" s="513"/>
      <c r="D104" s="76"/>
      <c r="E104" s="76"/>
      <c r="F104" s="263"/>
      <c r="G104" s="263"/>
      <c r="H104" s="281"/>
      <c r="I104" s="281"/>
      <c r="J104" s="281"/>
      <c r="K104" s="282"/>
      <c r="L104" s="283"/>
      <c r="M104" s="284"/>
      <c r="N104" s="284"/>
      <c r="P104" s="168"/>
    </row>
    <row r="105" spans="2:25" s="169" customFormat="1" ht="25.5" customHeight="1">
      <c r="B105" s="994" t="s">
        <v>344</v>
      </c>
      <c r="C105" s="994"/>
      <c r="D105" s="994"/>
      <c r="E105" s="994"/>
      <c r="F105" s="994"/>
      <c r="G105" s="994"/>
      <c r="H105" s="177"/>
      <c r="J105" s="178"/>
      <c r="K105" s="178"/>
      <c r="M105" s="179"/>
      <c r="N105" s="179"/>
      <c r="P105" s="168"/>
    </row>
    <row r="106" spans="2:25" s="169" customFormat="1" ht="25.5" customHeight="1">
      <c r="B106" s="994"/>
      <c r="C106" s="994"/>
      <c r="D106" s="994"/>
      <c r="E106" s="994"/>
      <c r="F106" s="994"/>
      <c r="G106" s="994"/>
      <c r="H106" s="177"/>
      <c r="J106" s="178"/>
      <c r="K106" s="178"/>
      <c r="M106" s="179"/>
      <c r="N106" s="179"/>
      <c r="P106" s="168"/>
    </row>
    <row r="107" spans="2:25" s="169" customFormat="1" ht="25.5" customHeight="1">
      <c r="B107" s="994"/>
      <c r="C107" s="994"/>
      <c r="D107" s="994"/>
      <c r="E107" s="994"/>
      <c r="F107" s="994"/>
      <c r="G107" s="994"/>
      <c r="H107" s="177"/>
      <c r="J107" s="178"/>
      <c r="K107" s="178"/>
      <c r="M107" s="179"/>
      <c r="N107" s="179"/>
      <c r="P107" s="168"/>
    </row>
    <row r="108" spans="2:25" s="169" customFormat="1" ht="25.5" customHeight="1">
      <c r="B108" s="1043" t="s">
        <v>223</v>
      </c>
      <c r="C108" s="1043"/>
      <c r="D108" s="1043"/>
      <c r="E108" s="1043"/>
      <c r="F108" s="1043"/>
      <c r="H108" s="177"/>
      <c r="J108" s="178"/>
      <c r="K108" s="178"/>
      <c r="M108" s="179"/>
      <c r="N108" s="179"/>
      <c r="O108" s="182"/>
      <c r="P108" s="187"/>
    </row>
    <row r="109" spans="2:25" s="291" customFormat="1" ht="25.5" customHeight="1">
      <c r="B109" s="1021" t="s">
        <v>345</v>
      </c>
      <c r="C109" s="1021"/>
      <c r="D109" s="1021"/>
      <c r="E109" s="1021"/>
      <c r="F109" s="1021"/>
      <c r="G109" s="285"/>
      <c r="H109" s="286"/>
      <c r="I109" s="285"/>
      <c r="J109" s="287"/>
      <c r="K109" s="288"/>
      <c r="L109" s="285"/>
      <c r="M109" s="289"/>
      <c r="N109" s="289"/>
      <c r="O109" s="285"/>
      <c r="P109" s="290"/>
    </row>
    <row r="110" spans="2:25" s="169" customFormat="1" ht="25.5" customHeight="1">
      <c r="B110" s="7" t="s">
        <v>206</v>
      </c>
      <c r="C110" s="504"/>
      <c r="D110" s="74"/>
      <c r="E110" s="74"/>
      <c r="F110" s="530"/>
      <c r="G110" s="182"/>
      <c r="H110" s="183"/>
      <c r="I110" s="182"/>
      <c r="J110" s="184"/>
      <c r="K110" s="185"/>
      <c r="L110" s="185"/>
      <c r="M110" s="182"/>
      <c r="N110" s="186"/>
      <c r="O110" s="186"/>
      <c r="P110" s="205"/>
      <c r="R110" s="180"/>
      <c r="S110" s="180"/>
    </row>
    <row r="111" spans="2:25" s="169" customFormat="1" ht="25.5" customHeight="1">
      <c r="B111" s="4"/>
      <c r="C111" s="4"/>
      <c r="D111" s="4"/>
      <c r="E111" s="4"/>
      <c r="F111" s="530"/>
      <c r="G111" s="182"/>
      <c r="H111" s="183"/>
      <c r="I111" s="182"/>
      <c r="J111" s="184"/>
      <c r="K111" s="185"/>
      <c r="L111" s="185"/>
      <c r="M111" s="182"/>
      <c r="N111" s="186"/>
      <c r="O111" s="186"/>
      <c r="P111" s="205"/>
      <c r="R111" s="180"/>
      <c r="S111" s="180"/>
    </row>
    <row r="112" spans="2:25" s="169" customFormat="1" ht="25.5" customHeight="1">
      <c r="B112" s="444" t="s">
        <v>208</v>
      </c>
      <c r="C112" s="506" t="s">
        <v>224</v>
      </c>
      <c r="D112" s="1013" t="s">
        <v>346</v>
      </c>
      <c r="E112" s="1013"/>
      <c r="F112" s="1013"/>
      <c r="G112" s="1013"/>
      <c r="H112" s="1013"/>
      <c r="I112" s="1013"/>
      <c r="J112" s="1013"/>
      <c r="K112" s="1013"/>
      <c r="L112" s="537"/>
      <c r="M112" s="265"/>
      <c r="N112" s="265"/>
      <c r="O112" s="186"/>
      <c r="P112" s="205"/>
      <c r="R112" s="180"/>
      <c r="S112" s="180"/>
    </row>
    <row r="113" spans="2:24" s="169" customFormat="1" ht="25.5" customHeight="1">
      <c r="B113" s="445" t="s">
        <v>77</v>
      </c>
      <c r="C113" s="507" t="s">
        <v>347</v>
      </c>
      <c r="D113" s="1080">
        <f>S3_storage.50_SUNET</f>
        <v>0.35</v>
      </c>
      <c r="E113" s="1080"/>
      <c r="F113" s="1073"/>
      <c r="G113" s="1073"/>
      <c r="H113" s="1073"/>
      <c r="I113" s="1073"/>
      <c r="J113" s="1073"/>
      <c r="K113" s="1073"/>
      <c r="L113" s="540"/>
      <c r="M113" s="292"/>
      <c r="N113" s="292"/>
      <c r="O113" s="186"/>
      <c r="P113" s="205"/>
      <c r="R113" s="180"/>
      <c r="S113" s="180"/>
    </row>
    <row r="114" spans="2:24" s="169" customFormat="1" ht="25.5" customHeight="1">
      <c r="B114" s="446" t="s">
        <v>77</v>
      </c>
      <c r="C114" s="508" t="s">
        <v>348</v>
      </c>
      <c r="D114" s="1078">
        <f>S3_storage.100_SUNET</f>
        <v>0.19</v>
      </c>
      <c r="E114" s="1078"/>
      <c r="F114" s="1068"/>
      <c r="G114" s="1068"/>
      <c r="H114" s="1068"/>
      <c r="I114" s="1068"/>
      <c r="J114" s="1068"/>
      <c r="K114" s="1068"/>
      <c r="L114" s="534"/>
      <c r="M114" s="293"/>
      <c r="N114" s="293"/>
      <c r="O114" s="186"/>
      <c r="P114" s="205"/>
      <c r="R114" s="180"/>
      <c r="S114" s="180"/>
    </row>
    <row r="115" spans="2:24" s="169" customFormat="1" ht="25.5" customHeight="1">
      <c r="B115" s="445" t="s">
        <v>77</v>
      </c>
      <c r="C115" s="507" t="s">
        <v>349</v>
      </c>
      <c r="D115" s="1081">
        <f>S3_storage.500_SUNET</f>
        <v>0.1</v>
      </c>
      <c r="E115" s="1081"/>
      <c r="F115" s="1071"/>
      <c r="G115" s="1071"/>
      <c r="H115" s="1071"/>
      <c r="I115" s="1071"/>
      <c r="J115" s="1071"/>
      <c r="K115" s="1071"/>
      <c r="L115" s="539"/>
      <c r="M115" s="294"/>
      <c r="N115" s="294"/>
      <c r="O115" s="186"/>
      <c r="P115" s="205"/>
      <c r="R115" s="180"/>
      <c r="S115" s="180"/>
    </row>
    <row r="116" spans="2:24" s="169" customFormat="1" ht="25.5" customHeight="1">
      <c r="B116" s="446" t="s">
        <v>77</v>
      </c>
      <c r="C116" s="508" t="s">
        <v>350</v>
      </c>
      <c r="D116" s="1078">
        <f>S3_storage.1000_SUNET</f>
        <v>0.06</v>
      </c>
      <c r="E116" s="1078"/>
      <c r="F116" s="1068"/>
      <c r="G116" s="1068"/>
      <c r="H116" s="1068"/>
      <c r="I116" s="1068"/>
      <c r="J116" s="1068"/>
      <c r="K116" s="1068"/>
      <c r="L116" s="534"/>
      <c r="M116" s="293"/>
      <c r="N116" s="293"/>
      <c r="O116" s="186"/>
      <c r="P116" s="205"/>
      <c r="R116" s="180"/>
      <c r="S116" s="180"/>
    </row>
    <row r="117" spans="2:24" s="169" customFormat="1" ht="25.5" customHeight="1">
      <c r="B117" s="445" t="s">
        <v>77</v>
      </c>
      <c r="C117" s="507" t="s">
        <v>82</v>
      </c>
      <c r="D117" s="1082" t="str">
        <f>S3_storage.quote_SUNET</f>
        <v>Be om offert</v>
      </c>
      <c r="E117" s="1082"/>
      <c r="F117" s="1069"/>
      <c r="G117" s="1069"/>
      <c r="H117" s="1069"/>
      <c r="I117" s="1069"/>
      <c r="J117" s="1069"/>
      <c r="K117" s="1069"/>
      <c r="L117" s="536"/>
      <c r="M117" s="295"/>
      <c r="N117" s="295"/>
      <c r="O117" s="186"/>
      <c r="P117" s="205"/>
      <c r="R117" s="180"/>
      <c r="S117" s="180"/>
    </row>
    <row r="118" spans="2:24" s="169" customFormat="1" ht="25.5" customHeight="1">
      <c r="B118" s="464"/>
      <c r="C118" s="514"/>
      <c r="D118" s="102"/>
      <c r="E118" s="102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205"/>
      <c r="R118" s="180"/>
      <c r="S118" s="180"/>
    </row>
    <row r="119" spans="2:24" s="242" customFormat="1" ht="25.5" customHeight="1">
      <c r="B119" s="465"/>
      <c r="C119" s="505"/>
      <c r="D119" s="133"/>
      <c r="E119" s="133"/>
      <c r="F119" s="530"/>
      <c r="G119" s="182"/>
      <c r="H119" s="183"/>
      <c r="I119" s="182"/>
      <c r="J119" s="184"/>
      <c r="K119" s="185"/>
      <c r="L119" s="185"/>
      <c r="M119" s="182"/>
      <c r="N119" s="186"/>
      <c r="O119" s="186"/>
      <c r="P119" s="296"/>
      <c r="R119" s="268"/>
      <c r="S119" s="268"/>
      <c r="T119" s="268"/>
      <c r="U119" s="268"/>
      <c r="V119" s="268"/>
      <c r="W119" s="268"/>
      <c r="X119" s="268"/>
    </row>
    <row r="120" spans="2:24" ht="25.5" customHeight="1">
      <c r="B120" s="444" t="s">
        <v>208</v>
      </c>
      <c r="C120" s="24"/>
      <c r="D120" s="24"/>
      <c r="E120" s="131" t="s">
        <v>210</v>
      </c>
      <c r="F120" s="1013" t="s">
        <v>221</v>
      </c>
      <c r="G120" s="1013"/>
      <c r="H120" s="266" t="s">
        <v>224</v>
      </c>
      <c r="I120" s="265"/>
      <c r="J120" s="265"/>
      <c r="K120" s="24" t="s">
        <v>351</v>
      </c>
      <c r="L120" s="265"/>
      <c r="M120" s="265"/>
      <c r="N120" s="537" t="s">
        <v>83</v>
      </c>
      <c r="O120" s="297"/>
      <c r="P120" s="205"/>
      <c r="R120" s="180"/>
      <c r="S120" s="180"/>
    </row>
    <row r="121" spans="2:24" s="249" customFormat="1" ht="25.5" customHeight="1">
      <c r="B121" s="466" t="s">
        <v>77</v>
      </c>
      <c r="C121" s="82"/>
      <c r="D121" s="82"/>
      <c r="E121" s="25">
        <f>F121/720</f>
        <v>4.861111111111111E-4</v>
      </c>
      <c r="F121" s="1083" cm="1">
        <f t="array" ref="F121">_xlfn.IFS(H121&lt;=299,D113,H121&lt;1000,D114,H121&lt;2000,D115,H121&gt;=2000,D116)</f>
        <v>0.35</v>
      </c>
      <c r="G121" s="1084"/>
      <c r="H121" s="298">
        <v>0</v>
      </c>
      <c r="I121" s="474" t="s">
        <v>84</v>
      </c>
      <c r="J121" s="300"/>
      <c r="K121" s="300" t="str" cm="1">
        <f t="array" ref="K121">_xlfn.IFS(H121&lt;=299,"6 månader",H121&lt;1000,"12 månader",H121&lt;2000,"12 månader",H121&gt;=2000,"36 månader")</f>
        <v>6 månader</v>
      </c>
      <c r="L121" s="300"/>
      <c r="M121" s="1075">
        <f>ROUNDUP((H121*1000)*F121,2)</f>
        <v>0</v>
      </c>
      <c r="N121" s="1075"/>
      <c r="O121" s="297"/>
      <c r="P121" s="262"/>
      <c r="R121" s="246"/>
      <c r="S121" s="246"/>
    </row>
    <row r="122" spans="2:24" ht="25.5" customHeight="1">
      <c r="B122" s="18" t="s">
        <v>85</v>
      </c>
      <c r="C122" s="510"/>
      <c r="D122" s="19"/>
      <c r="E122" s="19"/>
      <c r="F122" s="216"/>
      <c r="G122" s="217"/>
      <c r="H122" s="217"/>
      <c r="I122" s="217"/>
      <c r="J122" s="217"/>
      <c r="K122" s="302"/>
      <c r="L122" s="302"/>
      <c r="M122" s="1076">
        <f>SUM(M121)</f>
        <v>0</v>
      </c>
      <c r="N122" s="1076"/>
      <c r="O122" s="297"/>
      <c r="P122" s="205"/>
      <c r="R122" s="180"/>
      <c r="S122" s="180"/>
    </row>
    <row r="123" spans="2:24" ht="25.5" customHeight="1">
      <c r="B123" s="26"/>
      <c r="C123" s="515"/>
      <c r="D123" s="26"/>
      <c r="E123" s="26"/>
      <c r="F123" s="304"/>
      <c r="G123" s="305"/>
      <c r="H123" s="281"/>
      <c r="I123" s="281"/>
      <c r="J123" s="281"/>
      <c r="K123" s="306"/>
      <c r="L123" s="306"/>
      <c r="M123" s="284"/>
      <c r="N123" s="284"/>
      <c r="O123" s="297"/>
      <c r="P123" s="205"/>
      <c r="R123" s="180"/>
      <c r="S123" s="180"/>
    </row>
    <row r="124" spans="2:24" ht="25.5" customHeight="1">
      <c r="B124" s="26"/>
      <c r="C124" s="515"/>
      <c r="D124" s="26"/>
      <c r="E124" s="26"/>
      <c r="F124" s="304"/>
      <c r="G124" s="305"/>
      <c r="H124" s="281"/>
      <c r="I124" s="281"/>
      <c r="J124" s="281"/>
      <c r="K124" s="306"/>
      <c r="L124" s="306"/>
      <c r="M124" s="284"/>
      <c r="N124" s="284"/>
      <c r="O124" s="284"/>
      <c r="P124" s="205"/>
      <c r="R124" s="180"/>
      <c r="S124" s="180"/>
      <c r="V124" s="169"/>
    </row>
    <row r="125" spans="2:24" s="169" customFormat="1" ht="25.5" customHeight="1">
      <c r="B125" s="26"/>
      <c r="C125" s="515"/>
      <c r="D125" s="26"/>
      <c r="E125" s="26"/>
      <c r="F125" s="304"/>
      <c r="G125" s="305"/>
      <c r="H125" s="281"/>
      <c r="I125" s="281"/>
      <c r="J125" s="281"/>
      <c r="K125" s="306"/>
      <c r="L125" s="306"/>
      <c r="M125" s="284"/>
      <c r="N125" s="284"/>
      <c r="O125" s="284"/>
      <c r="P125" s="168"/>
    </row>
    <row r="126" spans="2:24" s="169" customFormat="1" ht="25.5" customHeight="1">
      <c r="B126" s="994" t="s">
        <v>86</v>
      </c>
      <c r="C126" s="994"/>
      <c r="D126" s="994"/>
      <c r="E126" s="994"/>
      <c r="F126" s="994"/>
      <c r="G126" s="994"/>
      <c r="H126" s="177"/>
      <c r="J126" s="178"/>
      <c r="K126" s="178"/>
      <c r="L126" s="178"/>
      <c r="N126" s="179"/>
      <c r="O126" s="179"/>
      <c r="P126" s="168"/>
    </row>
    <row r="127" spans="2:24" s="169" customFormat="1" ht="25.5" customHeight="1">
      <c r="B127" s="994"/>
      <c r="C127" s="994"/>
      <c r="D127" s="994"/>
      <c r="E127" s="994"/>
      <c r="F127" s="994"/>
      <c r="G127" s="994"/>
      <c r="H127" s="177"/>
      <c r="J127" s="178"/>
      <c r="K127" s="178"/>
      <c r="L127" s="178"/>
      <c r="N127" s="179"/>
      <c r="O127" s="179"/>
      <c r="P127" s="168"/>
    </row>
    <row r="128" spans="2:24" s="169" customFormat="1" ht="25.5" customHeight="1">
      <c r="B128" s="994"/>
      <c r="C128" s="994"/>
      <c r="D128" s="994"/>
      <c r="E128" s="994"/>
      <c r="F128" s="994"/>
      <c r="G128" s="994"/>
      <c r="H128" s="177"/>
      <c r="J128" s="178"/>
      <c r="K128" s="178"/>
      <c r="L128" s="178"/>
      <c r="N128" s="179"/>
      <c r="O128" s="179"/>
      <c r="P128" s="168"/>
    </row>
    <row r="129" spans="2:35" s="169" customFormat="1" ht="25.5" customHeight="1">
      <c r="B129" s="1015" t="s">
        <v>87</v>
      </c>
      <c r="C129" s="1015"/>
      <c r="D129" s="1015"/>
      <c r="E129" s="1015"/>
      <c r="F129" s="1015"/>
      <c r="H129" s="177"/>
      <c r="J129" s="178"/>
      <c r="K129" s="178"/>
      <c r="L129" s="178"/>
      <c r="N129" s="179"/>
      <c r="O129" s="179"/>
      <c r="P129" s="187"/>
    </row>
    <row r="130" spans="2:35" s="169" customFormat="1" ht="25.5" customHeight="1">
      <c r="B130" s="996" t="s">
        <v>226</v>
      </c>
      <c r="C130" s="996"/>
      <c r="D130" s="996"/>
      <c r="E130" s="996"/>
      <c r="F130" s="996"/>
      <c r="G130" s="182"/>
      <c r="H130" s="183"/>
      <c r="I130" s="182"/>
      <c r="J130" s="184"/>
      <c r="K130" s="185"/>
      <c r="L130" s="185"/>
      <c r="M130" s="182"/>
      <c r="N130" s="186"/>
      <c r="O130" s="186"/>
      <c r="P130" s="187"/>
    </row>
    <row r="131" spans="2:35" s="189" customFormat="1" ht="25.5" customHeight="1">
      <c r="B131" s="7" t="s">
        <v>227</v>
      </c>
      <c r="C131" s="504"/>
      <c r="D131" s="74"/>
      <c r="E131" s="74"/>
      <c r="F131" s="530"/>
      <c r="G131" s="182"/>
      <c r="H131" s="183"/>
      <c r="I131" s="182"/>
      <c r="J131" s="184"/>
      <c r="K131" s="185"/>
      <c r="L131" s="185"/>
      <c r="M131" s="169"/>
      <c r="N131" s="186"/>
      <c r="O131" s="186"/>
      <c r="P131" s="205"/>
      <c r="R131" s="180"/>
      <c r="S131" s="180"/>
      <c r="T131" s="180"/>
      <c r="U131" s="180"/>
      <c r="V131" s="180"/>
      <c r="W131" s="180"/>
      <c r="X131" s="180"/>
      <c r="AA131" s="161"/>
      <c r="AB131" s="161"/>
      <c r="AC131" s="161"/>
    </row>
    <row r="132" spans="2:35" s="242" customFormat="1" ht="25.5" customHeight="1">
      <c r="B132" s="27"/>
      <c r="C132" s="8"/>
      <c r="D132" s="8"/>
      <c r="E132" s="8"/>
      <c r="F132" s="189"/>
      <c r="G132" s="189"/>
      <c r="H132" s="189"/>
      <c r="I132" s="189"/>
      <c r="J132" s="189"/>
      <c r="K132" s="189"/>
      <c r="L132" s="189"/>
      <c r="M132" s="161"/>
      <c r="N132" s="252"/>
      <c r="O132" s="252"/>
      <c r="P132" s="296"/>
      <c r="S132" s="268"/>
      <c r="T132" s="268"/>
      <c r="U132" s="268"/>
      <c r="V132" s="268"/>
      <c r="W132" s="268"/>
      <c r="X132" s="268"/>
    </row>
    <row r="133" spans="2:35" ht="25">
      <c r="B133" s="444" t="s">
        <v>208</v>
      </c>
      <c r="C133" s="1013" t="s">
        <v>228</v>
      </c>
      <c r="D133" s="1013"/>
      <c r="E133" s="131" t="s">
        <v>210</v>
      </c>
      <c r="F133" s="1013" t="s">
        <v>221</v>
      </c>
      <c r="G133" s="1013"/>
      <c r="H133" s="266" t="s">
        <v>90</v>
      </c>
      <c r="I133" s="265"/>
      <c r="J133" s="1027" t="s">
        <v>229</v>
      </c>
      <c r="K133" s="1027"/>
      <c r="L133" s="535"/>
      <c r="M133" s="265"/>
      <c r="N133" s="537" t="s">
        <v>92</v>
      </c>
      <c r="O133" s="252"/>
      <c r="P133" s="160"/>
    </row>
    <row r="134" spans="2:35" ht="25.5" customHeight="1">
      <c r="B134" s="531" t="s">
        <v>93</v>
      </c>
      <c r="C134" s="475"/>
      <c r="D134" s="29" t="s">
        <v>94</v>
      </c>
      <c r="E134" s="29" t="s">
        <v>94</v>
      </c>
      <c r="F134" s="1062">
        <f>BAAS_on.demand_SEK</f>
        <v>2.4500000000000002</v>
      </c>
      <c r="G134" s="1063"/>
      <c r="H134" s="307">
        <v>0</v>
      </c>
      <c r="I134" s="472" t="s">
        <v>69</v>
      </c>
      <c r="J134" s="1031" t="s">
        <v>94</v>
      </c>
      <c r="K134" s="1031"/>
      <c r="L134" s="308"/>
      <c r="M134" s="272"/>
      <c r="N134" s="274">
        <f>ROUNDUP(H134*F134,2)</f>
        <v>0</v>
      </c>
      <c r="O134" s="252"/>
      <c r="P134" s="160"/>
    </row>
    <row r="135" spans="2:35" ht="25.5" customHeight="1">
      <c r="B135" s="532" t="s">
        <v>95</v>
      </c>
      <c r="C135" s="477"/>
      <c r="D135" s="31">
        <v>5500</v>
      </c>
      <c r="E135" s="32" t="s">
        <v>94</v>
      </c>
      <c r="F135" s="1064">
        <f>BAAS_small_SEK</f>
        <v>1.75</v>
      </c>
      <c r="G135" s="1065"/>
      <c r="H135" s="309">
        <v>0</v>
      </c>
      <c r="I135" s="473" t="s">
        <v>69</v>
      </c>
      <c r="J135" s="1035">
        <v>0.75</v>
      </c>
      <c r="K135" s="1036"/>
      <c r="L135" s="276"/>
      <c r="M135" s="276"/>
      <c r="N135" s="277">
        <f>IF(H135&gt;0,IF(SUM($D$135+($F$135*((H135*(1-$J$135))-1000)))&lt;=D135,$D$135,$D$135+($F$135*((H135*(1-$J$135))-1000))),0)</f>
        <v>0</v>
      </c>
      <c r="O135" s="252"/>
      <c r="P135" s="160"/>
    </row>
    <row r="136" spans="2:35" s="310" customFormat="1" ht="25.5" customHeight="1">
      <c r="B136" s="533" t="s">
        <v>96</v>
      </c>
      <c r="C136" s="476"/>
      <c r="D136" s="33">
        <v>9500</v>
      </c>
      <c r="E136" s="35" t="s">
        <v>94</v>
      </c>
      <c r="F136" s="1066">
        <f>BAAS_large_SEK</f>
        <v>0.92</v>
      </c>
      <c r="G136" s="1067"/>
      <c r="H136" s="298">
        <v>0</v>
      </c>
      <c r="I136" s="474" t="s">
        <v>69</v>
      </c>
      <c r="J136" s="1040">
        <v>0.75</v>
      </c>
      <c r="K136" s="1041"/>
      <c r="L136" s="299"/>
      <c r="M136" s="299"/>
      <c r="N136" s="301">
        <f>IF(H136&gt;0,$D$136+($F$136*(H136*(1-$J$136))),0)</f>
        <v>0</v>
      </c>
      <c r="O136" s="252"/>
      <c r="P136" s="312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</row>
    <row r="137" spans="2:35" s="310" customFormat="1" ht="25.5" customHeight="1">
      <c r="B137" s="18" t="s">
        <v>85</v>
      </c>
      <c r="C137" s="510"/>
      <c r="D137" s="19"/>
      <c r="E137" s="19"/>
      <c r="F137" s="216"/>
      <c r="G137" s="217"/>
      <c r="H137" s="279" t="str">
        <f>SUM(H134:H136)&amp;" GB"</f>
        <v>0 GB</v>
      </c>
      <c r="I137" s="217"/>
      <c r="J137" s="217"/>
      <c r="K137" s="302"/>
      <c r="L137" s="302"/>
      <c r="N137" s="88">
        <f>SUM(N134:N136)</f>
        <v>0</v>
      </c>
      <c r="O137" s="252"/>
      <c r="P137" s="312"/>
      <c r="R137" s="313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</row>
    <row r="138" spans="2:35" s="310" customFormat="1" ht="25.5" customHeight="1">
      <c r="B138" s="18"/>
      <c r="C138" s="510"/>
      <c r="D138" s="19"/>
      <c r="E138" s="19"/>
      <c r="F138" s="216"/>
      <c r="G138" s="217"/>
      <c r="H138" s="217"/>
      <c r="I138" s="217"/>
      <c r="J138" s="217"/>
      <c r="K138" s="302"/>
      <c r="L138" s="302"/>
      <c r="M138" s="48"/>
      <c r="N138" s="48"/>
      <c r="O138" s="252"/>
      <c r="P138" s="312"/>
      <c r="R138" s="313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</row>
    <row r="139" spans="2:35" s="310" customFormat="1" ht="25.5" customHeight="1">
      <c r="B139" s="28" t="s">
        <v>230</v>
      </c>
      <c r="C139" s="510"/>
      <c r="D139" s="19"/>
      <c r="E139" s="19"/>
      <c r="F139" s="216"/>
      <c r="G139" s="217"/>
      <c r="H139" s="217"/>
      <c r="I139" s="217"/>
      <c r="J139" s="217"/>
      <c r="K139" s="302"/>
      <c r="L139" s="302"/>
      <c r="M139" s="48"/>
      <c r="N139" s="48"/>
      <c r="O139" s="48"/>
      <c r="P139" s="312"/>
      <c r="R139" s="313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</row>
    <row r="140" spans="2:35" ht="25.5" customHeight="1">
      <c r="B140" s="28" t="s">
        <v>231</v>
      </c>
      <c r="C140" s="510"/>
      <c r="D140" s="19"/>
      <c r="E140" s="19"/>
      <c r="F140" s="216"/>
      <c r="G140" s="217"/>
      <c r="H140" s="217"/>
      <c r="I140" s="217"/>
      <c r="J140" s="217"/>
      <c r="K140" s="302"/>
      <c r="L140" s="302"/>
      <c r="M140" s="48"/>
      <c r="N140" s="48"/>
      <c r="O140" s="48"/>
      <c r="P140" s="205"/>
      <c r="R140" s="180"/>
      <c r="S140" s="180"/>
    </row>
    <row r="141" spans="2:35" ht="25.5" customHeight="1">
      <c r="B141" s="28" t="s">
        <v>232</v>
      </c>
      <c r="C141" s="515"/>
      <c r="D141" s="26"/>
      <c r="E141" s="26"/>
      <c r="F141" s="304"/>
      <c r="G141" s="305"/>
      <c r="H141" s="281"/>
      <c r="I141" s="281"/>
      <c r="J141" s="281"/>
      <c r="K141" s="306"/>
      <c r="L141" s="306"/>
      <c r="M141" s="284"/>
      <c r="N141" s="284"/>
      <c r="O141" s="284"/>
      <c r="P141" s="205"/>
      <c r="R141" s="180"/>
      <c r="S141" s="180"/>
    </row>
    <row r="142" spans="2:35" ht="25.5" customHeight="1">
      <c r="B142" s="28" t="s">
        <v>233</v>
      </c>
      <c r="C142" s="515"/>
      <c r="D142" s="26"/>
      <c r="E142" s="26"/>
      <c r="F142" s="304"/>
      <c r="G142" s="305"/>
      <c r="H142" s="281"/>
      <c r="I142" s="281"/>
      <c r="J142" s="281"/>
      <c r="K142" s="306"/>
      <c r="L142" s="284"/>
      <c r="M142" s="284"/>
      <c r="N142" s="284"/>
      <c r="O142" s="189"/>
      <c r="P142" s="205"/>
      <c r="Q142" s="180"/>
      <c r="R142" s="180"/>
    </row>
    <row r="143" spans="2:35" ht="25.5" customHeight="1">
      <c r="B143" s="28"/>
      <c r="C143" s="515"/>
      <c r="D143" s="26"/>
      <c r="E143" s="26"/>
      <c r="F143" s="304"/>
      <c r="G143" s="305"/>
      <c r="H143" s="281"/>
      <c r="I143" s="281"/>
      <c r="J143" s="281"/>
      <c r="K143" s="306"/>
      <c r="L143" s="284"/>
      <c r="M143" s="284"/>
      <c r="N143" s="284"/>
      <c r="O143" s="189"/>
      <c r="P143" s="205"/>
      <c r="Q143" s="180"/>
      <c r="R143" s="180"/>
    </row>
    <row r="144" spans="2:35" ht="25.5" customHeight="1">
      <c r="B144" s="28"/>
      <c r="C144" s="515"/>
      <c r="D144" s="26"/>
      <c r="E144" s="26"/>
      <c r="F144" s="304"/>
      <c r="G144" s="305"/>
      <c r="H144" s="281"/>
      <c r="I144" s="281"/>
      <c r="J144" s="281"/>
      <c r="K144" s="306"/>
      <c r="L144" s="284"/>
      <c r="M144" s="284"/>
      <c r="N144" s="284"/>
      <c r="O144" s="189"/>
      <c r="P144" s="205"/>
      <c r="Q144" s="180"/>
      <c r="R144" s="180"/>
    </row>
    <row r="145" spans="1:23" ht="25.5" customHeight="1">
      <c r="B145" s="28"/>
      <c r="C145" s="515"/>
      <c r="D145" s="26"/>
      <c r="E145" s="26"/>
      <c r="F145" s="304"/>
      <c r="G145" s="305"/>
      <c r="H145" s="281"/>
      <c r="I145" s="281"/>
      <c r="J145" s="281"/>
      <c r="K145" s="306"/>
      <c r="L145" s="284"/>
      <c r="M145" s="284"/>
      <c r="N145" s="284"/>
      <c r="O145" s="189"/>
      <c r="P145" s="205"/>
      <c r="Q145" s="180"/>
      <c r="R145" s="180"/>
    </row>
    <row r="146" spans="1:23" ht="25.5" customHeight="1">
      <c r="A146" s="336"/>
      <c r="B146" s="66"/>
      <c r="C146" s="516"/>
      <c r="D146" s="60"/>
      <c r="E146" s="60"/>
      <c r="F146" s="337"/>
      <c r="G146" s="338"/>
      <c r="H146" s="339"/>
      <c r="I146" s="339"/>
      <c r="J146" s="339"/>
      <c r="K146" s="340"/>
      <c r="L146" s="341"/>
      <c r="M146" s="341"/>
      <c r="N146" s="341"/>
      <c r="O146" s="342"/>
      <c r="P146" s="205"/>
      <c r="Q146" s="180"/>
      <c r="R146" s="180"/>
    </row>
    <row r="147" spans="1:23" s="169" customFormat="1" ht="25.5" customHeight="1">
      <c r="A147" s="162"/>
      <c r="B147" s="54"/>
      <c r="C147" s="517"/>
      <c r="D147" s="54"/>
      <c r="E147" s="54"/>
      <c r="F147" s="343"/>
      <c r="G147" s="344"/>
      <c r="H147" s="345"/>
      <c r="I147" s="345"/>
      <c r="J147" s="345"/>
      <c r="K147" s="346"/>
      <c r="L147" s="347"/>
      <c r="M147" s="347"/>
      <c r="N147" s="347"/>
      <c r="O147" s="162"/>
      <c r="P147" s="168"/>
    </row>
    <row r="148" spans="1:23" s="169" customFormat="1" ht="25.5" customHeight="1">
      <c r="A148" s="162"/>
      <c r="B148" s="54"/>
      <c r="C148" s="517"/>
      <c r="D148" s="54"/>
      <c r="E148" s="54"/>
      <c r="F148" s="343"/>
      <c r="G148" s="344"/>
      <c r="H148" s="345"/>
      <c r="I148" s="345"/>
      <c r="J148" s="345"/>
      <c r="K148" s="346"/>
      <c r="L148" s="347"/>
      <c r="M148" s="347"/>
      <c r="N148" s="347"/>
      <c r="O148" s="162"/>
      <c r="P148" s="168"/>
    </row>
    <row r="149" spans="1:23" s="169" customFormat="1" ht="25.5" customHeight="1">
      <c r="A149" s="162"/>
      <c r="B149" s="54"/>
      <c r="C149" s="517"/>
      <c r="D149" s="54"/>
      <c r="E149" s="54"/>
      <c r="F149" s="343"/>
      <c r="G149" s="344"/>
      <c r="H149" s="345"/>
      <c r="I149" s="345"/>
      <c r="J149" s="345"/>
      <c r="K149" s="346"/>
      <c r="L149" s="347"/>
      <c r="M149" s="347"/>
      <c r="N149" s="347"/>
      <c r="O149" s="162"/>
      <c r="P149" s="168"/>
    </row>
    <row r="150" spans="1:23" s="169" customFormat="1" ht="25.5" customHeight="1">
      <c r="A150" s="162"/>
      <c r="B150" s="997" t="s">
        <v>260</v>
      </c>
      <c r="C150" s="997"/>
      <c r="D150" s="997"/>
      <c r="E150" s="997"/>
      <c r="F150" s="997"/>
      <c r="G150" s="997"/>
      <c r="H150" s="165"/>
      <c r="I150" s="162"/>
      <c r="J150" s="166"/>
      <c r="K150" s="166"/>
      <c r="L150" s="162"/>
      <c r="M150" s="167"/>
      <c r="N150" s="167"/>
      <c r="O150" s="162"/>
      <c r="P150" s="168"/>
    </row>
    <row r="151" spans="1:23" s="169" customFormat="1" ht="25.5" customHeight="1">
      <c r="A151" s="162"/>
      <c r="B151" s="997"/>
      <c r="C151" s="997"/>
      <c r="D151" s="997"/>
      <c r="E151" s="997"/>
      <c r="F151" s="997"/>
      <c r="G151" s="997"/>
      <c r="H151" s="165"/>
      <c r="I151" s="162"/>
      <c r="J151" s="166"/>
      <c r="K151" s="166"/>
      <c r="L151" s="162"/>
      <c r="M151" s="167"/>
      <c r="N151" s="167"/>
      <c r="O151" s="162"/>
      <c r="P151" s="168"/>
    </row>
    <row r="152" spans="1:23" s="169" customFormat="1" ht="25.5" customHeight="1">
      <c r="A152" s="162"/>
      <c r="B152" s="997"/>
      <c r="C152" s="997"/>
      <c r="D152" s="997"/>
      <c r="E152" s="997"/>
      <c r="F152" s="997"/>
      <c r="G152" s="997"/>
      <c r="H152" s="165"/>
      <c r="I152" s="162"/>
      <c r="J152" s="166"/>
      <c r="K152" s="166"/>
      <c r="L152" s="162"/>
      <c r="M152" s="167"/>
      <c r="N152" s="167"/>
      <c r="O152" s="162"/>
      <c r="P152" s="168"/>
    </row>
    <row r="153" spans="1:23" s="169" customFormat="1" ht="25.5" customHeight="1">
      <c r="A153" s="162"/>
      <c r="B153" s="1060" t="s">
        <v>226</v>
      </c>
      <c r="C153" s="1060"/>
      <c r="D153" s="1060"/>
      <c r="E153" s="1060"/>
      <c r="F153" s="1060"/>
      <c r="G153" s="162"/>
      <c r="H153" s="165"/>
      <c r="I153" s="162"/>
      <c r="J153" s="166"/>
      <c r="K153" s="166"/>
      <c r="L153" s="162"/>
      <c r="M153" s="167"/>
      <c r="N153" s="167"/>
      <c r="O153" s="348"/>
      <c r="P153" s="187"/>
    </row>
    <row r="154" spans="1:23" s="169" customFormat="1" ht="25.5" customHeight="1">
      <c r="A154" s="162"/>
      <c r="B154" s="62"/>
      <c r="C154" s="3"/>
      <c r="D154" s="62"/>
      <c r="E154" s="62"/>
      <c r="F154" s="163"/>
      <c r="G154" s="162"/>
      <c r="H154" s="165"/>
      <c r="I154" s="162"/>
      <c r="J154" s="166"/>
      <c r="K154" s="166"/>
      <c r="L154" s="162"/>
      <c r="M154" s="167"/>
      <c r="N154" s="167"/>
      <c r="O154" s="348"/>
      <c r="P154" s="187"/>
    </row>
    <row r="155" spans="1:23" s="169" customFormat="1" ht="25.5" customHeight="1">
      <c r="A155" s="162"/>
      <c r="B155" s="68" t="s">
        <v>261</v>
      </c>
      <c r="C155" s="3"/>
      <c r="D155" s="62"/>
      <c r="E155" s="62"/>
      <c r="F155" s="163"/>
      <c r="G155" s="162"/>
      <c r="H155" s="165"/>
      <c r="I155" s="162"/>
      <c r="J155" s="166"/>
      <c r="K155" s="166"/>
      <c r="L155" s="162"/>
      <c r="M155" s="167"/>
      <c r="N155" s="167"/>
      <c r="O155" s="348"/>
      <c r="P155" s="187"/>
    </row>
    <row r="156" spans="1:23" s="169" customFormat="1" ht="25.5" customHeight="1">
      <c r="A156" s="162"/>
      <c r="B156" s="418" t="s">
        <v>202</v>
      </c>
      <c r="C156" s="3"/>
      <c r="D156" s="62"/>
      <c r="E156" s="62"/>
      <c r="F156" s="163"/>
      <c r="G156" s="162"/>
      <c r="H156" s="165"/>
      <c r="I156" s="162"/>
      <c r="J156" s="166"/>
      <c r="K156" s="166"/>
      <c r="L156" s="162"/>
      <c r="M156" s="167"/>
      <c r="N156" s="167"/>
      <c r="O156" s="348"/>
      <c r="P156" s="187"/>
    </row>
    <row r="157" spans="1:23" s="169" customFormat="1" ht="25.5" customHeight="1">
      <c r="A157" s="162"/>
      <c r="B157" s="69" t="s">
        <v>193</v>
      </c>
      <c r="C157" s="67"/>
      <c r="D157" s="67"/>
      <c r="E157" s="67"/>
      <c r="F157" s="349"/>
      <c r="G157" s="348"/>
      <c r="H157" s="350"/>
      <c r="I157" s="348"/>
      <c r="J157" s="351"/>
      <c r="K157" s="352"/>
      <c r="L157" s="348"/>
      <c r="M157" s="353"/>
      <c r="N157" s="353"/>
      <c r="O157" s="348"/>
      <c r="P157" s="187"/>
    </row>
    <row r="158" spans="1:23" s="242" customFormat="1" ht="25.5" customHeight="1">
      <c r="A158" s="354"/>
      <c r="B158" s="135"/>
      <c r="C158" s="67"/>
      <c r="D158" s="135"/>
      <c r="E158" s="135"/>
      <c r="F158" s="541"/>
      <c r="G158" s="348"/>
      <c r="H158" s="350"/>
      <c r="I158" s="348"/>
      <c r="J158" s="351"/>
      <c r="K158" s="352"/>
      <c r="L158" s="348"/>
      <c r="M158" s="353"/>
      <c r="N158" s="353"/>
      <c r="O158" s="354"/>
      <c r="P158" s="296"/>
      <c r="Q158" s="355"/>
      <c r="R158" s="268"/>
      <c r="S158" s="268"/>
      <c r="T158" s="268"/>
      <c r="U158" s="268"/>
      <c r="V158" s="268"/>
      <c r="W158" s="268"/>
    </row>
    <row r="159" spans="1:23" ht="25.5" customHeight="1">
      <c r="A159" s="157"/>
      <c r="B159" s="55" t="s">
        <v>262</v>
      </c>
      <c r="C159" s="56"/>
      <c r="D159" s="57"/>
      <c r="E159" s="56"/>
      <c r="F159" s="357"/>
      <c r="G159" s="357"/>
      <c r="H159" s="357"/>
      <c r="I159" s="357"/>
      <c r="J159" s="357"/>
      <c r="K159" s="356"/>
      <c r="L159" s="356"/>
      <c r="M159" s="357" t="s">
        <v>260</v>
      </c>
      <c r="N159" s="358"/>
      <c r="O159" s="359"/>
      <c r="P159" s="160"/>
      <c r="Q159" s="313"/>
    </row>
    <row r="160" spans="1:23" ht="25.5" customHeight="1">
      <c r="A160" s="157"/>
      <c r="B160" s="1086" t="s">
        <v>196</v>
      </c>
      <c r="C160" s="1086"/>
      <c r="D160" s="70"/>
      <c r="E160" s="71"/>
      <c r="F160" s="360"/>
      <c r="G160" s="361"/>
      <c r="H160" s="361"/>
      <c r="I160" s="361"/>
      <c r="J160" s="361"/>
      <c r="K160" s="494"/>
      <c r="L160" s="494"/>
      <c r="M160" s="361">
        <f>M86+M94+M60+M36+N101</f>
        <v>0</v>
      </c>
      <c r="N160" s="274"/>
      <c r="O160" s="157"/>
      <c r="P160" s="160"/>
      <c r="Q160" s="313"/>
    </row>
    <row r="161" spans="1:17" ht="25.5" customHeight="1">
      <c r="A161" s="157"/>
      <c r="B161" s="1087" t="s">
        <v>197</v>
      </c>
      <c r="C161" s="1087"/>
      <c r="D161" s="72"/>
      <c r="E161" s="73"/>
      <c r="F161" s="364"/>
      <c r="G161" s="365"/>
      <c r="H161" s="365"/>
      <c r="I161" s="365"/>
      <c r="J161" s="365"/>
      <c r="K161" s="495"/>
      <c r="L161" s="495"/>
      <c r="M161" s="365">
        <f>M122</f>
        <v>0</v>
      </c>
      <c r="N161" s="274"/>
      <c r="O161" s="157"/>
      <c r="P161" s="160"/>
      <c r="Q161" s="313"/>
    </row>
    <row r="162" spans="1:17" ht="25.5" customHeight="1">
      <c r="A162" s="157"/>
      <c r="B162" s="136" t="s">
        <v>198</v>
      </c>
      <c r="C162" s="501"/>
      <c r="D162" s="72"/>
      <c r="E162" s="73"/>
      <c r="F162" s="364"/>
      <c r="G162" s="365"/>
      <c r="H162" s="365"/>
      <c r="I162" s="365"/>
      <c r="J162" s="365"/>
      <c r="K162" s="495"/>
      <c r="L162" s="495"/>
      <c r="M162" s="365">
        <f>N137</f>
        <v>0</v>
      </c>
      <c r="N162" s="274"/>
      <c r="O162" s="157"/>
      <c r="P162" s="160"/>
      <c r="Q162" s="313"/>
    </row>
    <row r="163" spans="1:17" s="370" customFormat="1" ht="25.5" customHeight="1">
      <c r="A163" s="368"/>
      <c r="B163" s="1088" t="s">
        <v>199</v>
      </c>
      <c r="C163" s="1088"/>
      <c r="D163" s="33"/>
      <c r="E163" s="34"/>
      <c r="F163" s="311"/>
      <c r="G163" s="544"/>
      <c r="H163" s="544"/>
      <c r="I163" s="544"/>
      <c r="J163" s="544"/>
      <c r="K163" s="496"/>
      <c r="L163" s="496"/>
      <c r="M163" s="544">
        <f>N86+N94+N60+N36</f>
        <v>0</v>
      </c>
      <c r="N163" s="274"/>
      <c r="O163" s="368"/>
      <c r="P163" s="369"/>
    </row>
    <row r="164" spans="1:17" ht="25.5" customHeight="1">
      <c r="A164" s="157"/>
      <c r="B164" s="58" t="s">
        <v>85</v>
      </c>
      <c r="C164" s="518"/>
      <c r="D164" s="59"/>
      <c r="E164" s="59"/>
      <c r="F164" s="371"/>
      <c r="G164" s="372"/>
      <c r="H164" s="372"/>
      <c r="I164" s="372"/>
      <c r="J164" s="1085">
        <f>SUM(M160:M163)</f>
        <v>0</v>
      </c>
      <c r="K164" s="1085"/>
      <c r="L164" s="1085"/>
      <c r="M164" s="1085"/>
      <c r="N164" s="373"/>
      <c r="O164" s="157"/>
      <c r="P164" s="160"/>
    </row>
    <row r="165" spans="1:17" ht="25.5" customHeight="1">
      <c r="A165" s="157"/>
      <c r="B165" s="58"/>
      <c r="C165" s="518"/>
      <c r="D165" s="59"/>
      <c r="E165" s="59"/>
      <c r="F165" s="371"/>
      <c r="G165" s="372"/>
      <c r="H165" s="372"/>
      <c r="I165" s="372"/>
      <c r="J165" s="373"/>
      <c r="K165" s="373"/>
      <c r="L165" s="373"/>
      <c r="M165" s="373"/>
      <c r="N165" s="373"/>
      <c r="O165" s="157"/>
      <c r="P165" s="160"/>
    </row>
    <row r="166" spans="1:17" ht="25.5" customHeight="1">
      <c r="A166" s="157"/>
      <c r="B166" s="493" t="s">
        <v>352</v>
      </c>
      <c r="C166" s="501"/>
      <c r="D166" s="501"/>
      <c r="E166" s="73"/>
      <c r="F166" s="364"/>
      <c r="G166" s="365"/>
      <c r="H166" s="365"/>
      <c r="I166" s="365"/>
      <c r="J166" s="365"/>
      <c r="K166" s="366"/>
      <c r="L166" s="366"/>
      <c r="M166" s="365">
        <f>M160*0.88+M161+M162+M163</f>
        <v>0</v>
      </c>
      <c r="N166" s="274"/>
      <c r="O166" s="157"/>
      <c r="P166" s="160"/>
      <c r="Q166" s="313"/>
    </row>
    <row r="167" spans="1:17" ht="25.5" customHeight="1">
      <c r="A167" s="157"/>
      <c r="B167" s="493" t="s">
        <v>353</v>
      </c>
      <c r="C167" s="501"/>
      <c r="D167" s="501"/>
      <c r="E167" s="73"/>
      <c r="F167" s="364"/>
      <c r="G167" s="365"/>
      <c r="H167" s="365"/>
      <c r="I167" s="365"/>
      <c r="J167" s="365"/>
      <c r="K167" s="366"/>
      <c r="L167" s="366"/>
      <c r="M167" s="365">
        <f>M160*0.76+M161+M162+M163</f>
        <v>0</v>
      </c>
      <c r="N167" s="274"/>
      <c r="O167" s="157"/>
      <c r="P167" s="160"/>
      <c r="Q167" s="313"/>
    </row>
    <row r="168" spans="1:17" ht="25.5" customHeight="1">
      <c r="A168" s="157"/>
      <c r="B168" s="30"/>
      <c r="C168" s="39"/>
      <c r="D168" s="36"/>
      <c r="E168" s="37"/>
      <c r="F168" s="317"/>
      <c r="G168" s="542"/>
      <c r="H168" s="316"/>
      <c r="I168" s="272"/>
      <c r="J168" s="374"/>
      <c r="K168" s="272"/>
      <c r="L168" s="375"/>
      <c r="M168" s="274"/>
      <c r="N168" s="274"/>
      <c r="O168" s="157"/>
      <c r="P168" s="160"/>
    </row>
    <row r="169" spans="1:17" ht="25.5" customHeight="1">
      <c r="A169" s="376"/>
      <c r="B169" s="42"/>
      <c r="C169" s="519"/>
      <c r="D169" s="33"/>
      <c r="E169" s="34"/>
      <c r="F169" s="378"/>
      <c r="G169" s="544"/>
      <c r="H169" s="377"/>
      <c r="I169" s="299"/>
      <c r="J169" s="379"/>
      <c r="K169" s="299"/>
      <c r="L169" s="380"/>
      <c r="M169" s="301"/>
      <c r="N169" s="301"/>
      <c r="O169" s="381"/>
      <c r="P169" s="160"/>
    </row>
    <row r="170" spans="1:17" s="382" customFormat="1" ht="24" customHeight="1">
      <c r="B170" s="108"/>
      <c r="C170" s="520"/>
      <c r="D170" s="109"/>
      <c r="E170" s="110"/>
      <c r="F170" s="384"/>
      <c r="G170" s="385"/>
      <c r="H170" s="383"/>
      <c r="I170" s="386"/>
      <c r="J170" s="387"/>
      <c r="K170" s="386"/>
      <c r="L170" s="388"/>
      <c r="M170" s="389"/>
      <c r="N170" s="389"/>
    </row>
    <row r="171" spans="1:17" s="382" customFormat="1" ht="24" customHeight="1">
      <c r="B171" s="108"/>
      <c r="C171" s="520"/>
      <c r="D171" s="108"/>
      <c r="E171" s="108"/>
      <c r="F171" s="390"/>
      <c r="G171" s="391"/>
      <c r="H171" s="392"/>
      <c r="I171" s="392"/>
      <c r="J171" s="392"/>
      <c r="K171" s="393"/>
      <c r="L171" s="389"/>
      <c r="M171" s="389"/>
      <c r="N171" s="389"/>
    </row>
    <row r="172" spans="1:17" s="382" customFormat="1" ht="24" customHeight="1">
      <c r="B172" s="108"/>
      <c r="C172" s="520"/>
      <c r="D172" s="108"/>
      <c r="E172" s="108"/>
      <c r="F172" s="390"/>
      <c r="G172" s="391"/>
      <c r="H172" s="392"/>
      <c r="I172" s="392"/>
      <c r="J172" s="392"/>
      <c r="K172" s="393"/>
      <c r="L172" s="389"/>
      <c r="M172" s="389"/>
      <c r="N172" s="389"/>
    </row>
    <row r="173" spans="1:17" s="382" customFormat="1" ht="24" customHeight="1">
      <c r="B173" s="108"/>
      <c r="C173" s="520"/>
      <c r="D173" s="108"/>
      <c r="E173" s="108"/>
      <c r="F173" s="390"/>
      <c r="G173" s="391"/>
      <c r="H173" s="392"/>
      <c r="I173" s="392"/>
      <c r="J173" s="392"/>
      <c r="K173" s="393"/>
      <c r="L173" s="389"/>
      <c r="M173" s="389"/>
      <c r="N173" s="389"/>
    </row>
    <row r="174" spans="1:17" s="382" customFormat="1" ht="24" customHeight="1">
      <c r="B174" s="108"/>
      <c r="C174" s="520"/>
      <c r="D174" s="108"/>
      <c r="E174" s="108"/>
      <c r="F174" s="390"/>
      <c r="G174" s="391"/>
      <c r="H174" s="392"/>
      <c r="I174" s="392"/>
      <c r="J174" s="392"/>
      <c r="K174" s="393"/>
      <c r="L174" s="389"/>
      <c r="M174" s="389"/>
      <c r="N174" s="389"/>
    </row>
    <row r="175" spans="1:17" s="382" customFormat="1" ht="24" customHeight="1">
      <c r="B175" s="108"/>
      <c r="C175" s="520"/>
      <c r="D175" s="108"/>
      <c r="E175" s="108"/>
      <c r="F175" s="390"/>
      <c r="G175" s="391"/>
      <c r="H175" s="392"/>
      <c r="I175" s="392"/>
      <c r="J175" s="392"/>
      <c r="K175" s="393"/>
      <c r="L175" s="389"/>
      <c r="M175" s="389"/>
      <c r="N175" s="389"/>
    </row>
    <row r="176" spans="1:17" s="382" customFormat="1" ht="24" customHeight="1">
      <c r="B176" s="108"/>
      <c r="C176" s="520"/>
      <c r="D176" s="108"/>
      <c r="E176" s="108"/>
      <c r="F176" s="390"/>
      <c r="G176" s="391"/>
      <c r="H176" s="392"/>
      <c r="I176" s="392"/>
      <c r="J176" s="392"/>
      <c r="K176" s="393"/>
      <c r="L176" s="389"/>
      <c r="M176" s="389"/>
      <c r="N176" s="389"/>
    </row>
    <row r="177" spans="1:23" s="382" customFormat="1" ht="24" customHeight="1">
      <c r="B177" s="108"/>
      <c r="C177" s="520"/>
      <c r="D177" s="108"/>
      <c r="E177" s="108"/>
      <c r="F177" s="390"/>
      <c r="G177" s="391"/>
      <c r="H177" s="392"/>
      <c r="I177" s="392"/>
      <c r="J177" s="392"/>
      <c r="K177" s="393"/>
      <c r="L177" s="389"/>
      <c r="M177" s="389"/>
      <c r="N177" s="389"/>
    </row>
    <row r="178" spans="1:23" s="382" customFormat="1" ht="24" customHeight="1">
      <c r="B178" s="108"/>
      <c r="C178" s="520"/>
      <c r="D178" s="108"/>
      <c r="E178" s="108"/>
      <c r="F178" s="390"/>
      <c r="G178" s="391"/>
      <c r="H178" s="392"/>
      <c r="I178" s="392"/>
      <c r="J178" s="392"/>
      <c r="K178" s="393"/>
      <c r="L178" s="389"/>
      <c r="M178" s="389"/>
      <c r="N178" s="389"/>
    </row>
    <row r="179" spans="1:23" s="382" customFormat="1" ht="24" customHeight="1">
      <c r="B179" s="108"/>
      <c r="C179" s="520"/>
      <c r="D179" s="108"/>
      <c r="E179" s="108"/>
      <c r="F179" s="390"/>
      <c r="G179" s="391"/>
      <c r="H179" s="392"/>
      <c r="I179" s="392"/>
      <c r="J179" s="392"/>
      <c r="K179" s="393"/>
      <c r="L179" s="389"/>
      <c r="M179" s="389"/>
      <c r="N179" s="389"/>
    </row>
    <row r="180" spans="1:23" s="394" customFormat="1" ht="24" customHeight="1">
      <c r="A180" s="382"/>
      <c r="B180" s="108"/>
      <c r="C180" s="520"/>
      <c r="D180" s="108"/>
      <c r="E180" s="108"/>
      <c r="F180" s="390"/>
      <c r="G180" s="391"/>
      <c r="H180" s="392"/>
      <c r="I180" s="392"/>
      <c r="J180" s="392"/>
      <c r="K180" s="393"/>
      <c r="L180" s="389"/>
      <c r="M180" s="389"/>
      <c r="N180" s="389"/>
      <c r="O180" s="382"/>
      <c r="P180" s="382"/>
      <c r="Q180" s="382"/>
      <c r="R180" s="382"/>
      <c r="S180" s="382"/>
      <c r="T180" s="382"/>
      <c r="U180" s="382"/>
      <c r="V180" s="382"/>
      <c r="W180" s="382"/>
    </row>
    <row r="181" spans="1:23" s="382" customFormat="1" ht="24" customHeight="1">
      <c r="B181" s="108"/>
      <c r="C181" s="520"/>
      <c r="D181" s="108"/>
      <c r="E181" s="108"/>
      <c r="F181" s="390"/>
      <c r="G181" s="391"/>
      <c r="H181" s="392"/>
      <c r="I181" s="392"/>
      <c r="J181" s="392"/>
      <c r="K181" s="393"/>
      <c r="L181" s="389"/>
      <c r="M181" s="389"/>
      <c r="N181" s="389"/>
    </row>
    <row r="182" spans="1:23" s="382" customFormat="1" ht="24" customHeight="1">
      <c r="B182" s="108"/>
      <c r="C182" s="520"/>
      <c r="D182" s="108"/>
      <c r="E182" s="108"/>
      <c r="F182" s="390"/>
      <c r="G182" s="391"/>
      <c r="H182" s="392"/>
      <c r="I182" s="392"/>
      <c r="J182" s="392"/>
      <c r="K182" s="393"/>
      <c r="L182" s="389"/>
      <c r="M182" s="389"/>
      <c r="N182" s="389"/>
    </row>
    <row r="183" spans="1:23" s="382" customFormat="1" ht="24" customHeight="1">
      <c r="B183" s="108"/>
      <c r="C183" s="520"/>
      <c r="D183" s="108"/>
      <c r="E183" s="108"/>
      <c r="F183" s="390"/>
      <c r="G183" s="391"/>
      <c r="H183" s="392"/>
      <c r="I183" s="392"/>
      <c r="J183" s="392"/>
      <c r="K183" s="393"/>
      <c r="L183" s="389"/>
      <c r="M183" s="389"/>
      <c r="N183" s="389"/>
    </row>
    <row r="184" spans="1:23" s="382" customFormat="1" ht="24" customHeight="1">
      <c r="B184" s="108"/>
      <c r="C184" s="520"/>
      <c r="D184" s="108"/>
      <c r="E184" s="108"/>
      <c r="F184" s="390"/>
      <c r="G184" s="391"/>
      <c r="H184" s="392"/>
      <c r="I184" s="392"/>
      <c r="J184" s="392"/>
      <c r="K184" s="393"/>
      <c r="L184" s="389"/>
      <c r="M184" s="389"/>
      <c r="N184" s="389"/>
    </row>
    <row r="185" spans="1:23" s="382" customFormat="1" ht="24" customHeight="1">
      <c r="B185" s="108"/>
      <c r="C185" s="520"/>
      <c r="D185" s="108"/>
      <c r="E185" s="108"/>
      <c r="F185" s="390"/>
      <c r="G185" s="391"/>
      <c r="H185" s="392"/>
      <c r="I185" s="392"/>
      <c r="J185" s="392"/>
      <c r="K185" s="393"/>
      <c r="L185" s="389"/>
      <c r="M185" s="389"/>
      <c r="N185" s="389"/>
    </row>
    <row r="186" spans="1:23" s="382" customFormat="1" ht="24" customHeight="1">
      <c r="B186" s="108"/>
      <c r="C186" s="520"/>
      <c r="D186" s="108"/>
      <c r="E186" s="108"/>
      <c r="F186" s="390"/>
      <c r="G186" s="391"/>
      <c r="H186" s="392"/>
      <c r="I186" s="392"/>
      <c r="J186" s="392"/>
      <c r="K186" s="393"/>
      <c r="L186" s="389"/>
      <c r="M186" s="389"/>
      <c r="N186" s="389"/>
    </row>
    <row r="187" spans="1:23" s="382" customFormat="1" ht="24" customHeight="1">
      <c r="B187" s="108"/>
      <c r="C187" s="520"/>
      <c r="D187" s="108"/>
      <c r="E187" s="108"/>
      <c r="F187" s="390"/>
      <c r="G187" s="391"/>
      <c r="H187" s="392"/>
      <c r="I187" s="392"/>
      <c r="J187" s="392"/>
      <c r="K187" s="393"/>
      <c r="L187" s="389"/>
      <c r="M187" s="389"/>
      <c r="N187" s="389"/>
    </row>
    <row r="188" spans="1:23" s="382" customFormat="1" ht="24" customHeight="1">
      <c r="B188" s="108"/>
      <c r="C188" s="520"/>
      <c r="D188" s="108"/>
      <c r="E188" s="108"/>
      <c r="F188" s="390"/>
      <c r="G188" s="391"/>
      <c r="H188" s="392"/>
      <c r="I188" s="392"/>
      <c r="J188" s="392"/>
      <c r="K188" s="393"/>
      <c r="L188" s="389"/>
      <c r="M188" s="389"/>
      <c r="N188" s="389"/>
    </row>
    <row r="189" spans="1:23" s="382" customFormat="1" ht="24" customHeight="1">
      <c r="B189" s="108"/>
      <c r="C189" s="520"/>
      <c r="D189" s="108"/>
      <c r="E189" s="108"/>
      <c r="F189" s="390"/>
      <c r="G189" s="391"/>
      <c r="H189" s="392"/>
      <c r="I189" s="392"/>
      <c r="J189" s="392"/>
      <c r="K189" s="393"/>
      <c r="L189" s="389"/>
      <c r="M189" s="389"/>
      <c r="N189" s="389"/>
    </row>
    <row r="190" spans="1:23" s="382" customFormat="1" ht="24" customHeight="1">
      <c r="B190" s="108"/>
      <c r="C190" s="520"/>
      <c r="D190" s="108"/>
      <c r="E190" s="108"/>
      <c r="F190" s="390"/>
      <c r="G190" s="391"/>
      <c r="H190" s="392"/>
      <c r="I190" s="392"/>
      <c r="J190" s="392"/>
      <c r="K190" s="393"/>
      <c r="L190" s="389"/>
      <c r="M190" s="389"/>
      <c r="N190" s="389"/>
    </row>
    <row r="191" spans="1:23" s="382" customFormat="1" ht="24" customHeight="1">
      <c r="B191" s="108"/>
      <c r="C191" s="520"/>
      <c r="D191" s="108"/>
      <c r="E191" s="108"/>
      <c r="F191" s="390"/>
      <c r="G191" s="391"/>
      <c r="H191" s="392"/>
      <c r="I191" s="392"/>
      <c r="J191" s="392"/>
      <c r="K191" s="393"/>
      <c r="L191" s="389"/>
      <c r="M191" s="389"/>
      <c r="N191" s="389"/>
    </row>
    <row r="192" spans="1:23" s="382" customFormat="1" ht="24" customHeight="1">
      <c r="B192" s="108"/>
      <c r="C192" s="520"/>
      <c r="D192" s="108"/>
      <c r="E192" s="108"/>
      <c r="F192" s="390"/>
      <c r="G192" s="391"/>
      <c r="H192" s="392"/>
      <c r="I192" s="392"/>
      <c r="J192" s="392"/>
      <c r="K192" s="393"/>
      <c r="L192" s="389"/>
      <c r="M192" s="389"/>
      <c r="N192" s="389"/>
    </row>
    <row r="193" spans="2:14" s="382" customFormat="1" ht="24" customHeight="1">
      <c r="B193" s="108"/>
      <c r="C193" s="520"/>
      <c r="D193" s="108"/>
      <c r="E193" s="108"/>
      <c r="F193" s="390"/>
      <c r="G193" s="391"/>
      <c r="H193" s="392"/>
      <c r="I193" s="392"/>
      <c r="J193" s="392"/>
      <c r="K193" s="393"/>
      <c r="L193" s="389"/>
      <c r="M193" s="389"/>
      <c r="N193" s="389"/>
    </row>
    <row r="194" spans="2:14" s="382" customFormat="1" ht="24" customHeight="1">
      <c r="B194" s="108"/>
      <c r="C194" s="520"/>
      <c r="D194" s="108"/>
      <c r="E194" s="108"/>
      <c r="F194" s="390"/>
      <c r="G194" s="391"/>
      <c r="H194" s="392"/>
      <c r="I194" s="392"/>
      <c r="J194" s="392"/>
      <c r="K194" s="393"/>
      <c r="L194" s="389"/>
      <c r="M194" s="389"/>
      <c r="N194" s="389"/>
    </row>
    <row r="195" spans="2:14" s="382" customFormat="1" ht="25.5" customHeight="1">
      <c r="B195" s="108"/>
      <c r="C195" s="520"/>
      <c r="D195" s="108"/>
      <c r="E195" s="108"/>
      <c r="F195" s="390"/>
      <c r="G195" s="391"/>
      <c r="H195" s="392"/>
      <c r="I195" s="392"/>
      <c r="J195" s="392"/>
      <c r="K195" s="393"/>
      <c r="L195" s="389"/>
      <c r="M195" s="389"/>
      <c r="N195" s="389"/>
    </row>
    <row r="196" spans="2:14" s="382" customFormat="1" ht="25.5" customHeight="1">
      <c r="B196" s="108"/>
      <c r="C196" s="520"/>
      <c r="D196" s="108"/>
      <c r="E196" s="108"/>
      <c r="F196" s="390"/>
      <c r="G196" s="391"/>
      <c r="H196" s="392"/>
      <c r="I196" s="392"/>
      <c r="J196" s="392"/>
      <c r="K196" s="393"/>
      <c r="L196" s="389"/>
      <c r="M196" s="389"/>
      <c r="N196" s="389"/>
    </row>
    <row r="197" spans="2:14" s="382" customFormat="1" ht="25.5" customHeight="1">
      <c r="B197" s="108"/>
      <c r="C197" s="520"/>
      <c r="D197" s="108"/>
      <c r="E197" s="108"/>
      <c r="F197" s="390"/>
      <c r="G197" s="391"/>
      <c r="H197" s="392"/>
      <c r="I197" s="392"/>
      <c r="J197" s="392"/>
      <c r="K197" s="393"/>
      <c r="L197" s="389"/>
      <c r="M197" s="389"/>
      <c r="N197" s="389"/>
    </row>
    <row r="198" spans="2:14" s="382" customFormat="1" ht="25.5" customHeight="1">
      <c r="B198" s="108"/>
      <c r="C198" s="520"/>
      <c r="D198" s="108"/>
      <c r="E198" s="108"/>
      <c r="F198" s="390"/>
      <c r="G198" s="391"/>
      <c r="H198" s="392"/>
      <c r="I198" s="392"/>
      <c r="J198" s="392"/>
      <c r="K198" s="393"/>
      <c r="L198" s="389"/>
      <c r="M198" s="389"/>
      <c r="N198" s="389"/>
    </row>
    <row r="199" spans="2:14" s="382" customFormat="1" ht="25.5" customHeight="1">
      <c r="B199" s="108"/>
      <c r="C199" s="520"/>
      <c r="D199" s="108"/>
      <c r="E199" s="108"/>
      <c r="F199" s="390"/>
      <c r="G199" s="391"/>
      <c r="H199" s="392"/>
      <c r="I199" s="392"/>
      <c r="J199" s="392"/>
      <c r="K199" s="393"/>
      <c r="L199" s="389"/>
      <c r="M199" s="389"/>
      <c r="N199" s="389"/>
    </row>
    <row r="200" spans="2:14" s="382" customFormat="1" ht="25.5" customHeight="1">
      <c r="B200" s="111"/>
      <c r="C200" s="112"/>
      <c r="D200" s="112"/>
      <c r="E200" s="112"/>
      <c r="K200" s="393"/>
      <c r="M200" s="395"/>
    </row>
    <row r="201" spans="2:14" s="382" customFormat="1" ht="25.5" customHeight="1">
      <c r="B201" s="111"/>
      <c r="C201" s="112"/>
      <c r="D201" s="112"/>
      <c r="E201" s="112"/>
      <c r="K201" s="393"/>
      <c r="M201" s="395"/>
    </row>
    <row r="202" spans="2:14" s="382" customFormat="1" ht="25.5" customHeight="1">
      <c r="B202" s="111"/>
      <c r="C202" s="112"/>
      <c r="D202" s="112"/>
      <c r="E202" s="112"/>
      <c r="K202" s="393"/>
      <c r="M202" s="395"/>
    </row>
    <row r="203" spans="2:14" s="382" customFormat="1" ht="25.5" customHeight="1">
      <c r="B203" s="111"/>
      <c r="C203" s="112"/>
      <c r="D203" s="112"/>
      <c r="E203" s="112"/>
      <c r="K203" s="393"/>
      <c r="M203" s="395"/>
    </row>
    <row r="204" spans="2:14" s="382" customFormat="1" ht="25.5" customHeight="1">
      <c r="B204" s="111"/>
      <c r="C204" s="112"/>
      <c r="D204" s="112"/>
      <c r="E204" s="112"/>
      <c r="K204" s="393"/>
      <c r="M204" s="395"/>
    </row>
    <row r="205" spans="2:14" s="382" customFormat="1" ht="25.5" customHeight="1">
      <c r="B205" s="111"/>
      <c r="C205" s="112"/>
      <c r="D205" s="112"/>
      <c r="E205" s="112"/>
      <c r="K205" s="393"/>
      <c r="M205" s="395"/>
    </row>
    <row r="206" spans="2:14" s="382" customFormat="1" ht="25.5" customHeight="1">
      <c r="B206" s="111"/>
      <c r="C206" s="112"/>
      <c r="D206" s="112"/>
      <c r="E206" s="112"/>
      <c r="K206" s="393"/>
      <c r="M206" s="395"/>
    </row>
    <row r="207" spans="2:14" s="382" customFormat="1" ht="25.5" customHeight="1">
      <c r="B207" s="111"/>
      <c r="C207" s="112"/>
      <c r="D207" s="112"/>
      <c r="E207" s="112"/>
      <c r="K207" s="393"/>
      <c r="M207" s="395"/>
    </row>
    <row r="208" spans="2:14" s="382" customFormat="1" ht="25.5" customHeight="1">
      <c r="B208" s="111"/>
      <c r="C208" s="112"/>
      <c r="D208" s="112"/>
      <c r="E208" s="112"/>
      <c r="K208" s="393"/>
      <c r="M208" s="395"/>
    </row>
    <row r="209" spans="2:13" s="382" customFormat="1" ht="25.5" customHeight="1">
      <c r="B209" s="111"/>
      <c r="C209" s="112"/>
      <c r="D209" s="112"/>
      <c r="E209" s="112"/>
      <c r="K209" s="393"/>
      <c r="M209" s="395"/>
    </row>
    <row r="210" spans="2:13" s="382" customFormat="1" ht="25.5" customHeight="1">
      <c r="B210" s="111"/>
      <c r="C210" s="112"/>
      <c r="D210" s="112"/>
      <c r="E210" s="112"/>
      <c r="K210" s="393"/>
      <c r="M210" s="395"/>
    </row>
    <row r="211" spans="2:13" s="382" customFormat="1" ht="25.5" customHeight="1">
      <c r="B211" s="111"/>
      <c r="C211" s="112"/>
      <c r="D211" s="112"/>
      <c r="E211" s="112"/>
      <c r="K211" s="393"/>
      <c r="M211" s="395"/>
    </row>
    <row r="212" spans="2:13" s="382" customFormat="1" ht="25.5" customHeight="1">
      <c r="B212" s="111"/>
      <c r="C212" s="112"/>
      <c r="D212" s="112"/>
      <c r="E212" s="112"/>
      <c r="K212" s="393"/>
      <c r="M212" s="395"/>
    </row>
    <row r="213" spans="2:13" s="382" customFormat="1" ht="25.5" customHeight="1">
      <c r="B213" s="111"/>
      <c r="C213" s="112"/>
      <c r="D213" s="112"/>
      <c r="E213" s="112"/>
      <c r="K213" s="393"/>
      <c r="M213" s="395"/>
    </row>
    <row r="214" spans="2:13" s="382" customFormat="1" ht="25.5" customHeight="1">
      <c r="B214" s="111"/>
      <c r="C214" s="112"/>
      <c r="D214" s="112"/>
      <c r="E214" s="112"/>
      <c r="K214" s="393"/>
      <c r="M214" s="395"/>
    </row>
    <row r="215" spans="2:13" s="382" customFormat="1" ht="25.5" customHeight="1">
      <c r="B215" s="111"/>
      <c r="C215" s="112"/>
      <c r="D215" s="112"/>
      <c r="E215" s="112"/>
      <c r="K215" s="393"/>
      <c r="M215" s="395"/>
    </row>
    <row r="216" spans="2:13" s="382" customFormat="1" ht="25.5" customHeight="1">
      <c r="B216" s="111"/>
      <c r="C216" s="112"/>
      <c r="D216" s="112"/>
      <c r="E216" s="112"/>
      <c r="K216" s="393"/>
      <c r="M216" s="395"/>
    </row>
    <row r="217" spans="2:13" s="382" customFormat="1" ht="25.5" customHeight="1">
      <c r="B217" s="111"/>
      <c r="C217" s="112"/>
      <c r="D217" s="112"/>
      <c r="E217" s="112"/>
      <c r="K217" s="393"/>
      <c r="M217" s="395"/>
    </row>
    <row r="218" spans="2:13" s="382" customFormat="1" ht="25.5" customHeight="1">
      <c r="B218" s="111"/>
      <c r="C218" s="112"/>
      <c r="D218" s="112"/>
      <c r="E218" s="112"/>
      <c r="K218" s="393"/>
      <c r="M218" s="395"/>
    </row>
    <row r="219" spans="2:13" s="382" customFormat="1" ht="25.5" customHeight="1">
      <c r="B219" s="111"/>
      <c r="C219" s="112"/>
      <c r="D219" s="112"/>
      <c r="E219" s="112"/>
      <c r="K219" s="393"/>
      <c r="M219" s="395"/>
    </row>
    <row r="220" spans="2:13" s="382" customFormat="1" ht="25.5" customHeight="1">
      <c r="B220" s="111"/>
      <c r="C220" s="112"/>
      <c r="D220" s="112"/>
      <c r="E220" s="112"/>
      <c r="K220" s="393"/>
      <c r="M220" s="395"/>
    </row>
    <row r="221" spans="2:13" s="382" customFormat="1" ht="25.5" customHeight="1">
      <c r="B221" s="111"/>
      <c r="C221" s="112"/>
      <c r="D221" s="112"/>
      <c r="E221" s="112"/>
      <c r="K221" s="393"/>
      <c r="M221" s="395"/>
    </row>
    <row r="222" spans="2:13" s="382" customFormat="1" ht="25.5" customHeight="1">
      <c r="B222" s="111"/>
      <c r="C222" s="112"/>
      <c r="D222" s="112"/>
      <c r="E222" s="112"/>
      <c r="K222" s="393"/>
      <c r="M222" s="395"/>
    </row>
    <row r="223" spans="2:13" s="382" customFormat="1" ht="25.5" customHeight="1">
      <c r="B223" s="111"/>
      <c r="C223" s="112"/>
      <c r="D223" s="112"/>
      <c r="E223" s="112"/>
      <c r="K223" s="393"/>
      <c r="M223" s="395"/>
    </row>
    <row r="224" spans="2:13" s="382" customFormat="1" ht="25.5" customHeight="1">
      <c r="B224" s="111"/>
      <c r="C224" s="112"/>
      <c r="D224" s="112"/>
      <c r="E224" s="112"/>
      <c r="K224" s="393"/>
      <c r="M224" s="395"/>
    </row>
    <row r="225" spans="2:13" s="382" customFormat="1" ht="25.5" customHeight="1">
      <c r="B225" s="111"/>
      <c r="C225" s="112"/>
      <c r="D225" s="112"/>
      <c r="E225" s="112"/>
      <c r="K225" s="393"/>
      <c r="M225" s="395"/>
    </row>
    <row r="226" spans="2:13" s="382" customFormat="1" ht="25.5" customHeight="1">
      <c r="B226" s="111"/>
      <c r="C226" s="112"/>
      <c r="D226" s="112"/>
      <c r="E226" s="112"/>
      <c r="K226" s="393"/>
      <c r="M226" s="395"/>
    </row>
    <row r="227" spans="2:13" s="382" customFormat="1" ht="25.5" customHeight="1">
      <c r="B227" s="111"/>
      <c r="C227" s="112"/>
      <c r="D227" s="112"/>
      <c r="E227" s="112"/>
      <c r="K227" s="393"/>
      <c r="M227" s="395"/>
    </row>
    <row r="228" spans="2:13" s="382" customFormat="1" ht="25.5" customHeight="1">
      <c r="B228" s="111"/>
      <c r="C228" s="112"/>
      <c r="D228" s="112"/>
      <c r="E228" s="112"/>
      <c r="K228" s="393"/>
      <c r="M228" s="395"/>
    </row>
    <row r="229" spans="2:13" s="382" customFormat="1" ht="25.5" customHeight="1">
      <c r="B229" s="111"/>
      <c r="C229" s="112"/>
      <c r="D229" s="112"/>
      <c r="E229" s="112"/>
      <c r="K229" s="393"/>
      <c r="M229" s="395"/>
    </row>
    <row r="230" spans="2:13" s="382" customFormat="1" ht="25.5" customHeight="1">
      <c r="B230" s="111"/>
      <c r="C230" s="112"/>
      <c r="D230" s="112"/>
      <c r="E230" s="112"/>
      <c r="K230" s="393"/>
      <c r="M230" s="395"/>
    </row>
    <row r="231" spans="2:13" s="382" customFormat="1" ht="25.5" customHeight="1">
      <c r="B231" s="111"/>
      <c r="C231" s="112"/>
      <c r="D231" s="112"/>
      <c r="E231" s="112"/>
      <c r="K231" s="393"/>
      <c r="M231" s="395"/>
    </row>
    <row r="232" spans="2:13" s="382" customFormat="1" ht="25.5" customHeight="1">
      <c r="B232" s="111"/>
      <c r="C232" s="112"/>
      <c r="D232" s="112"/>
      <c r="E232" s="112"/>
      <c r="K232" s="393"/>
      <c r="M232" s="395"/>
    </row>
    <row r="233" spans="2:13" s="382" customFormat="1" ht="25.5" customHeight="1">
      <c r="B233" s="111"/>
      <c r="C233" s="112"/>
      <c r="D233" s="112"/>
      <c r="E233" s="112"/>
      <c r="K233" s="393"/>
      <c r="M233" s="395"/>
    </row>
    <row r="234" spans="2:13" s="382" customFormat="1" ht="25.5" customHeight="1">
      <c r="B234" s="111"/>
      <c r="C234" s="112"/>
      <c r="D234" s="112"/>
      <c r="E234" s="112"/>
      <c r="K234" s="393"/>
      <c r="M234" s="395"/>
    </row>
    <row r="235" spans="2:13" s="382" customFormat="1" ht="25.5" customHeight="1">
      <c r="B235" s="111"/>
      <c r="C235" s="112"/>
      <c r="D235" s="112"/>
      <c r="E235" s="112"/>
      <c r="K235" s="393"/>
      <c r="M235" s="395"/>
    </row>
    <row r="236" spans="2:13" s="382" customFormat="1" ht="25.5" customHeight="1">
      <c r="B236" s="111"/>
      <c r="C236" s="112"/>
      <c r="D236" s="112"/>
      <c r="E236" s="112"/>
      <c r="K236" s="393"/>
      <c r="M236" s="395"/>
    </row>
    <row r="237" spans="2:13" s="382" customFormat="1" ht="25.5" customHeight="1">
      <c r="B237" s="111"/>
      <c r="C237" s="112"/>
      <c r="D237" s="112"/>
      <c r="E237" s="112"/>
      <c r="K237" s="393"/>
      <c r="M237" s="395"/>
    </row>
    <row r="238" spans="2:13" s="382" customFormat="1" ht="25.5" customHeight="1">
      <c r="B238" s="111"/>
      <c r="C238" s="112"/>
      <c r="D238" s="112"/>
      <c r="E238" s="112"/>
      <c r="K238" s="393"/>
      <c r="M238" s="395"/>
    </row>
    <row r="239" spans="2:13" s="382" customFormat="1" ht="25.5" customHeight="1">
      <c r="B239" s="111"/>
      <c r="C239" s="112"/>
      <c r="D239" s="112"/>
      <c r="E239" s="112"/>
      <c r="K239" s="393"/>
      <c r="M239" s="395"/>
    </row>
    <row r="240" spans="2:13" s="382" customFormat="1" ht="25.5" customHeight="1">
      <c r="B240" s="111"/>
      <c r="C240" s="112"/>
      <c r="D240" s="112"/>
      <c r="E240" s="112"/>
      <c r="K240" s="393"/>
      <c r="M240" s="395"/>
    </row>
    <row r="241" spans="2:13" s="382" customFormat="1" ht="25.5" customHeight="1">
      <c r="B241" s="111"/>
      <c r="C241" s="112"/>
      <c r="D241" s="112"/>
      <c r="E241" s="112"/>
      <c r="K241" s="393"/>
      <c r="M241" s="395"/>
    </row>
    <row r="242" spans="2:13" s="382" customFormat="1" ht="25.5" customHeight="1">
      <c r="B242" s="111"/>
      <c r="C242" s="112"/>
      <c r="D242" s="112"/>
      <c r="E242" s="112"/>
      <c r="K242" s="393"/>
      <c r="M242" s="395"/>
    </row>
    <row r="243" spans="2:13" s="382" customFormat="1" ht="25.5" customHeight="1">
      <c r="B243" s="111"/>
      <c r="C243" s="112"/>
      <c r="D243" s="112"/>
      <c r="E243" s="112"/>
      <c r="K243" s="393"/>
      <c r="M243" s="395"/>
    </row>
    <row r="244" spans="2:13" s="382" customFormat="1" ht="25.5" customHeight="1">
      <c r="B244" s="111"/>
      <c r="C244" s="112"/>
      <c r="D244" s="112"/>
      <c r="E244" s="112"/>
      <c r="K244" s="393"/>
      <c r="M244" s="395"/>
    </row>
    <row r="245" spans="2:13" s="382" customFormat="1" ht="25.5" customHeight="1">
      <c r="B245" s="111"/>
      <c r="C245" s="112"/>
      <c r="D245" s="112"/>
      <c r="E245" s="112"/>
      <c r="K245" s="393"/>
      <c r="M245" s="395"/>
    </row>
    <row r="246" spans="2:13" s="382" customFormat="1" ht="25.5" customHeight="1">
      <c r="B246" s="111"/>
      <c r="C246" s="112"/>
      <c r="D246" s="112"/>
      <c r="E246" s="112"/>
      <c r="K246" s="393"/>
      <c r="M246" s="395"/>
    </row>
    <row r="247" spans="2:13" s="382" customFormat="1" ht="25.5" customHeight="1">
      <c r="B247" s="111"/>
      <c r="C247" s="112"/>
      <c r="D247" s="112"/>
      <c r="E247" s="112"/>
      <c r="K247" s="393"/>
      <c r="M247" s="395"/>
    </row>
    <row r="248" spans="2:13" s="382" customFormat="1" ht="25.5" customHeight="1">
      <c r="B248" s="111"/>
      <c r="C248" s="112"/>
      <c r="D248" s="112"/>
      <c r="E248" s="112"/>
      <c r="K248" s="393"/>
      <c r="M248" s="395"/>
    </row>
    <row r="249" spans="2:13" s="382" customFormat="1" ht="25.5" customHeight="1">
      <c r="B249" s="111"/>
      <c r="C249" s="112"/>
      <c r="D249" s="112"/>
      <c r="E249" s="112"/>
      <c r="K249" s="393"/>
      <c r="M249" s="395"/>
    </row>
    <row r="250" spans="2:13" s="382" customFormat="1" ht="25.5" customHeight="1">
      <c r="B250" s="111"/>
      <c r="C250" s="112"/>
      <c r="D250" s="112"/>
      <c r="E250" s="112"/>
      <c r="K250" s="393"/>
      <c r="M250" s="395"/>
    </row>
    <row r="262" spans="2:4" ht="25.5" customHeight="1">
      <c r="B262" s="38"/>
      <c r="C262" s="41"/>
      <c r="D262" s="96"/>
    </row>
  </sheetData>
  <sheetProtection selectLockedCells="1"/>
  <mergeCells count="58"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12:K112"/>
    <mergeCell ref="D113:E113"/>
    <mergeCell ref="F113:G113"/>
    <mergeCell ref="H113:I113"/>
    <mergeCell ref="J113:K113"/>
    <mergeCell ref="B108:F108"/>
    <mergeCell ref="B109:F109"/>
    <mergeCell ref="D112:E112"/>
    <mergeCell ref="F112:G112"/>
    <mergeCell ref="H112:I112"/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</mergeCells>
  <phoneticPr fontId="2" type="noConversion"/>
  <conditionalFormatting sqref="M25:N35 M61:N63 M39:N39">
    <cfRule type="cellIs" dxfId="56" priority="59" operator="greaterThan">
      <formula>0</formula>
    </cfRule>
  </conditionalFormatting>
  <conditionalFormatting sqref="H134 H121 J99:J100 I25:K35">
    <cfRule type="cellIs" dxfId="55" priority="58" operator="greaterThan">
      <formula>0</formula>
    </cfRule>
  </conditionalFormatting>
  <conditionalFormatting sqref="J100">
    <cfRule type="cellIs" dxfId="54" priority="57" operator="greaterThan">
      <formula>0</formula>
    </cfRule>
  </conditionalFormatting>
  <conditionalFormatting sqref="J99">
    <cfRule type="cellIs" dxfId="53" priority="56" operator="greaterThan">
      <formula>0</formula>
    </cfRule>
  </conditionalFormatting>
  <conditionalFormatting sqref="H121">
    <cfRule type="cellIs" dxfId="52" priority="55" operator="greaterThan">
      <formula>0</formula>
    </cfRule>
  </conditionalFormatting>
  <conditionalFormatting sqref="I25:I35 I65:I85">
    <cfRule type="cellIs" dxfId="51" priority="54" operator="lessThan">
      <formula>$J25</formula>
    </cfRule>
  </conditionalFormatting>
  <conditionalFormatting sqref="H136 J136">
    <cfRule type="cellIs" dxfId="50" priority="53" operator="greaterThan">
      <formula>0</formula>
    </cfRule>
  </conditionalFormatting>
  <conditionalFormatting sqref="J136">
    <cfRule type="cellIs" dxfId="49" priority="52" operator="greaterThan">
      <formula>0</formula>
    </cfRule>
  </conditionalFormatting>
  <conditionalFormatting sqref="H135 J135">
    <cfRule type="cellIs" dxfId="48" priority="51" operator="greaterThan">
      <formula>0</formula>
    </cfRule>
  </conditionalFormatting>
  <conditionalFormatting sqref="J135">
    <cfRule type="cellIs" dxfId="47" priority="50" operator="greaterThan">
      <formula>0</formula>
    </cfRule>
  </conditionalFormatting>
  <conditionalFormatting sqref="I91:J93">
    <cfRule type="cellIs" dxfId="46" priority="43" operator="greaterThan">
      <formula>0</formula>
    </cfRule>
  </conditionalFormatting>
  <conditionalFormatting sqref="M91:N92">
    <cfRule type="cellIs" dxfId="45" priority="44" operator="greaterThan">
      <formula>0</formula>
    </cfRule>
  </conditionalFormatting>
  <conditionalFormatting sqref="I91:J93">
    <cfRule type="cellIs" dxfId="44" priority="45" operator="lessThan">
      <formula>$J91</formula>
    </cfRule>
  </conditionalFormatting>
  <conditionalFormatting sqref="M93:N93">
    <cfRule type="cellIs" dxfId="43" priority="42" operator="greaterThan">
      <formula>0</formula>
    </cfRule>
  </conditionalFormatting>
  <conditionalFormatting sqref="K91:K93">
    <cfRule type="cellIs" dxfId="42" priority="41" operator="greaterThan">
      <formula>0</formula>
    </cfRule>
  </conditionalFormatting>
  <conditionalFormatting sqref="M42:N42 M44:N44 M46:N46 M48:N48 M50:N50 M52:N52 M54:N54 M56:N56 M58:N58">
    <cfRule type="cellIs" dxfId="41" priority="38" operator="greaterThan">
      <formula>0</formula>
    </cfRule>
  </conditionalFormatting>
  <conditionalFormatting sqref="I41:K59">
    <cfRule type="cellIs" dxfId="40" priority="39" operator="greaterThan">
      <formula>0</formula>
    </cfRule>
  </conditionalFormatting>
  <conditionalFormatting sqref="M41:N41 M43:N43 M45:N45 M47:N47 M49:N49 M51:N51 M53:N53 M55:N55 M57:N57 M59:N59">
    <cfRule type="cellIs" dxfId="39" priority="37" operator="greaterThan">
      <formula>0</formula>
    </cfRule>
  </conditionalFormatting>
  <conditionalFormatting sqref="M42:N42 M44:N44 M46:N46 M48:N48 M50:N50 M52:N52 M54:N54 M56:N56 M58:N58">
    <cfRule type="cellIs" dxfId="38" priority="36" operator="greaterThan">
      <formula>0</formula>
    </cfRule>
  </conditionalFormatting>
  <conditionalFormatting sqref="M41:N41 M43:N43 M45:N45 M47:N47 M49:N49 M51:N51 M53:N53 M55:N55 M57:N57 M59:N59">
    <cfRule type="cellIs" dxfId="37" priority="35" operator="greaterThan">
      <formula>0</formula>
    </cfRule>
  </conditionalFormatting>
  <conditionalFormatting sqref="N41:N59">
    <cfRule type="cellIs" dxfId="36" priority="34" operator="greaterThan">
      <formula>0</formula>
    </cfRule>
  </conditionalFormatting>
  <conditionalFormatting sqref="I41:I59">
    <cfRule type="cellIs" dxfId="35" priority="40" operator="lessThan">
      <formula>$J41</formula>
    </cfRule>
  </conditionalFormatting>
  <conditionalFormatting sqref="M66:N66 M68:N68 M70:N70 M72:N72 M74:N74 M76:N76 M78:N78 M80:N80 M82:N82 M84:N84">
    <cfRule type="cellIs" dxfId="34" priority="5" operator="greaterThan">
      <formula>0</formula>
    </cfRule>
  </conditionalFormatting>
  <conditionalFormatting sqref="N65:N85">
    <cfRule type="cellIs" dxfId="33" priority="1" operator="greaterThan">
      <formula>0</formula>
    </cfRule>
  </conditionalFormatting>
  <conditionalFormatting sqref="M66:N66 M68:N68 M70:N70 M72:N72 M74:N74 M76:N76 M78:N78 M80:N80 M82:N82 M84:N84">
    <cfRule type="cellIs" dxfId="32" priority="3" operator="greaterThan">
      <formula>0</formula>
    </cfRule>
  </conditionalFormatting>
  <conditionalFormatting sqref="M65:N65 M67:N67 M69:N69 M71:N71 M73:N73 M75:N75 M77:N77 M79:N79 M81:N81 M83:N83 M85:N85">
    <cfRule type="cellIs" dxfId="31" priority="2" operator="greaterThan">
      <formula>0</formula>
    </cfRule>
  </conditionalFormatting>
  <conditionalFormatting sqref="I65:K85">
    <cfRule type="cellIs" dxfId="30" priority="6" operator="greaterThan">
      <formula>0</formula>
    </cfRule>
  </conditionalFormatting>
  <conditionalFormatting sqref="M65:N65 M67:N67 M69:N69 M71:N71 M73:N73 M75:N75 M77:N77 M79:N79 M81:N81 M83:N83 M85:N85">
    <cfRule type="cellIs" dxfId="29" priority="4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5"/>
  <sheetViews>
    <sheetView topLeftCell="E1" zoomScale="120" zoomScaleNormal="120" workbookViewId="0">
      <selection activeCell="M3" sqref="M3"/>
    </sheetView>
  </sheetViews>
  <sheetFormatPr baseColWidth="10" defaultColWidth="17.5" defaultRowHeight="30" customHeight="1"/>
  <cols>
    <col min="1" max="1" width="10.1640625" style="457" customWidth="1"/>
    <col min="2" max="3" width="17.5" style="457"/>
    <col min="4" max="4" width="17.5" style="463"/>
    <col min="5" max="6" width="23.1640625" style="457" bestFit="1" customWidth="1"/>
    <col min="7" max="7" width="22.5" style="492" bestFit="1" customWidth="1"/>
    <col min="8" max="16384" width="17.5" style="457"/>
  </cols>
  <sheetData>
    <row r="1" spans="2:14" s="50" customFormat="1" ht="30" customHeight="1">
      <c r="B1" s="51"/>
      <c r="D1" s="53"/>
      <c r="G1" s="488"/>
      <c r="L1" s="52"/>
      <c r="N1" s="53"/>
    </row>
    <row r="2" spans="2:14" s="145" customFormat="1" ht="30" customHeight="1">
      <c r="B2" s="118" t="s">
        <v>4</v>
      </c>
      <c r="C2" s="116"/>
      <c r="D2" s="117" t="s">
        <v>354</v>
      </c>
      <c r="E2" s="117" t="s">
        <v>355</v>
      </c>
      <c r="F2" s="117" t="s">
        <v>356</v>
      </c>
      <c r="G2" s="484" t="s">
        <v>357</v>
      </c>
      <c r="I2" s="116" t="s">
        <v>358</v>
      </c>
      <c r="J2" s="117"/>
      <c r="K2" s="117"/>
    </row>
    <row r="3" spans="2:14" s="50" customFormat="1" ht="30" customHeight="1">
      <c r="B3" s="128" t="s">
        <v>359</v>
      </c>
      <c r="C3" s="44"/>
      <c r="D3" s="143">
        <v>55</v>
      </c>
      <c r="E3" s="124">
        <f t="shared" ref="E3:E6" si="0">D3*SEK</f>
        <v>55</v>
      </c>
      <c r="F3" s="126">
        <f>D3*EUR</f>
        <v>5.0599999999999996</v>
      </c>
      <c r="G3" s="124">
        <f t="shared" ref="G3:G11" si="1">(D3*(1+Safespring.price.increase))*(1+sunet.price.increase)</f>
        <v>67.650000000000006</v>
      </c>
      <c r="I3" s="86" t="s">
        <v>203</v>
      </c>
      <c r="J3" s="47"/>
      <c r="K3" s="454">
        <v>1</v>
      </c>
    </row>
    <row r="4" spans="2:14" s="50" customFormat="1" ht="30" customHeight="1">
      <c r="B4" s="84" t="s">
        <v>360</v>
      </c>
      <c r="C4" s="83"/>
      <c r="D4" s="143">
        <v>3.6</v>
      </c>
      <c r="E4" s="125">
        <f t="shared" si="0"/>
        <v>3.6</v>
      </c>
      <c r="F4" s="127">
        <f>D4*EUR</f>
        <v>0.33119999999999999</v>
      </c>
      <c r="G4" s="487">
        <f t="shared" si="1"/>
        <v>4.4279999999999999</v>
      </c>
      <c r="I4" s="115" t="s">
        <v>356</v>
      </c>
      <c r="K4" s="455">
        <v>9.1999999999999998E-2</v>
      </c>
    </row>
    <row r="5" spans="2:14" s="50" customFormat="1" ht="30" customHeight="1">
      <c r="B5" s="128" t="s">
        <v>361</v>
      </c>
      <c r="C5" s="44"/>
      <c r="D5" s="143">
        <v>80</v>
      </c>
      <c r="E5" s="124">
        <f t="shared" si="0"/>
        <v>80</v>
      </c>
      <c r="F5" s="126">
        <f t="shared" ref="F5:F6" si="2">D5*EUR</f>
        <v>7.3599999999999994</v>
      </c>
      <c r="G5" s="124">
        <f t="shared" si="1"/>
        <v>98.4</v>
      </c>
      <c r="I5" s="86" t="s">
        <v>264</v>
      </c>
      <c r="J5" s="47"/>
      <c r="K5" s="456">
        <v>1</v>
      </c>
    </row>
    <row r="6" spans="2:14" s="50" customFormat="1" ht="30" customHeight="1">
      <c r="B6" s="84" t="s">
        <v>362</v>
      </c>
      <c r="C6" s="83"/>
      <c r="D6" s="143">
        <v>1</v>
      </c>
      <c r="E6" s="125">
        <f t="shared" si="0"/>
        <v>1</v>
      </c>
      <c r="F6" s="127">
        <f t="shared" si="2"/>
        <v>9.1999999999999998E-2</v>
      </c>
      <c r="G6" s="125">
        <f t="shared" si="1"/>
        <v>1.23</v>
      </c>
      <c r="I6" s="139"/>
      <c r="J6" s="140"/>
      <c r="K6" s="139"/>
    </row>
    <row r="7" spans="2:14" s="50" customFormat="1" ht="30" customHeight="1">
      <c r="B7" s="128" t="s">
        <v>363</v>
      </c>
      <c r="C7" s="44"/>
      <c r="D7" s="143">
        <v>5500</v>
      </c>
      <c r="E7" s="124">
        <f>D7*SEK</f>
        <v>5500</v>
      </c>
      <c r="F7" s="126">
        <f>D7*EUR</f>
        <v>506</v>
      </c>
      <c r="G7" s="124">
        <f t="shared" si="1"/>
        <v>6765</v>
      </c>
      <c r="J7" s="52"/>
    </row>
    <row r="8" spans="2:14" s="50" customFormat="1" ht="30" customHeight="1">
      <c r="B8" s="84" t="s">
        <v>364</v>
      </c>
      <c r="C8" s="83"/>
      <c r="D8" s="143">
        <v>2.66</v>
      </c>
      <c r="E8" s="423">
        <f>D8*IAAS_vcpu_SEK*SEK</f>
        <v>212.8</v>
      </c>
      <c r="F8" s="424">
        <f>D8*IAAS_vcpu_SEK*EUR</f>
        <v>19.5776</v>
      </c>
      <c r="G8" s="423">
        <f t="shared" si="1"/>
        <v>3.2718000000000003</v>
      </c>
      <c r="I8" s="118" t="s">
        <v>365</v>
      </c>
      <c r="J8" s="119" t="s">
        <v>366</v>
      </c>
      <c r="K8" s="117" t="s">
        <v>92</v>
      </c>
    </row>
    <row r="9" spans="2:14" s="50" customFormat="1" ht="30" customHeight="1">
      <c r="B9" s="128" t="s">
        <v>367</v>
      </c>
      <c r="C9" s="44"/>
      <c r="D9" s="143">
        <v>65</v>
      </c>
      <c r="E9" s="497" t="s">
        <v>94</v>
      </c>
      <c r="F9" s="498" t="s">
        <v>94</v>
      </c>
      <c r="G9" s="124">
        <f t="shared" si="1"/>
        <v>79.95</v>
      </c>
      <c r="I9" s="45" t="s">
        <v>368</v>
      </c>
      <c r="J9" s="138"/>
      <c r="K9" s="15">
        <f>J9*IAAS_vcpu_SEK</f>
        <v>0</v>
      </c>
    </row>
    <row r="10" spans="2:14" s="50" customFormat="1" ht="30" customHeight="1">
      <c r="B10" s="84" t="s">
        <v>369</v>
      </c>
      <c r="C10" s="83"/>
      <c r="D10" s="143">
        <v>85</v>
      </c>
      <c r="E10" s="499" t="s">
        <v>94</v>
      </c>
      <c r="F10" s="500" t="s">
        <v>94</v>
      </c>
      <c r="G10" s="423">
        <f t="shared" si="1"/>
        <v>104.55</v>
      </c>
      <c r="I10" s="120" t="s">
        <v>370</v>
      </c>
      <c r="J10" s="138"/>
      <c r="K10" s="85">
        <f>J10*IAAS_ram_SEK</f>
        <v>0</v>
      </c>
    </row>
    <row r="11" spans="2:14" s="146" customFormat="1" ht="30" customHeight="1">
      <c r="B11" s="128" t="s">
        <v>371</v>
      </c>
      <c r="C11" s="44"/>
      <c r="D11" s="143">
        <v>3.8</v>
      </c>
      <c r="E11" s="497" t="s">
        <v>94</v>
      </c>
      <c r="F11" s="498" t="s">
        <v>94</v>
      </c>
      <c r="G11" s="124">
        <f t="shared" si="1"/>
        <v>4.6739999999999995</v>
      </c>
      <c r="I11" s="121" t="s">
        <v>343</v>
      </c>
      <c r="J11" s="122"/>
      <c r="K11" s="123">
        <f>SUM(K9:K10)</f>
        <v>0</v>
      </c>
    </row>
    <row r="12" spans="2:14" s="50" customFormat="1" ht="30" customHeight="1">
      <c r="B12" s="425"/>
      <c r="C12" s="426"/>
      <c r="D12" s="427"/>
      <c r="E12" s="427"/>
      <c r="F12" s="427"/>
      <c r="G12" s="485"/>
      <c r="L12" s="52"/>
      <c r="N12" s="457"/>
    </row>
    <row r="13" spans="2:14" ht="30" customHeight="1">
      <c r="B13" s="118" t="s">
        <v>372</v>
      </c>
      <c r="C13" s="116"/>
      <c r="D13" s="117" t="s">
        <v>354</v>
      </c>
      <c r="E13" s="117" t="s">
        <v>203</v>
      </c>
      <c r="F13" s="117" t="s">
        <v>356</v>
      </c>
      <c r="G13" s="484" t="s">
        <v>373</v>
      </c>
      <c r="I13" s="118" t="s">
        <v>374</v>
      </c>
      <c r="J13" s="118"/>
      <c r="K13" s="119" t="s">
        <v>375</v>
      </c>
      <c r="L13" s="458"/>
    </row>
    <row r="14" spans="2:14" ht="30" customHeight="1">
      <c r="B14" s="128" t="s">
        <v>59</v>
      </c>
      <c r="C14" s="44"/>
      <c r="D14" s="154">
        <f>INSTANCE_p1.4xlarge.16d_SEK/2</f>
        <v>6840</v>
      </c>
      <c r="E14" s="124">
        <f t="shared" ref="E14:E16" si="3">D14*SEK</f>
        <v>6840</v>
      </c>
      <c r="F14" s="126">
        <f t="shared" ref="F14:F16" si="4">D14*EUR</f>
        <v>629.28</v>
      </c>
      <c r="G14" s="486"/>
      <c r="I14" s="45" t="s">
        <v>376</v>
      </c>
      <c r="J14" s="45"/>
      <c r="K14" s="482">
        <v>0</v>
      </c>
    </row>
    <row r="15" spans="2:14" s="459" customFormat="1" ht="30" customHeight="1">
      <c r="B15" s="84" t="s">
        <v>61</v>
      </c>
      <c r="C15" s="83"/>
      <c r="D15" s="153">
        <v>13680</v>
      </c>
      <c r="E15" s="125">
        <f t="shared" si="3"/>
        <v>13680</v>
      </c>
      <c r="F15" s="127">
        <f t="shared" si="4"/>
        <v>1258.56</v>
      </c>
      <c r="G15" s="487"/>
      <c r="I15" s="120" t="s">
        <v>377</v>
      </c>
      <c r="J15" s="120"/>
      <c r="K15" s="482">
        <v>0.23</v>
      </c>
    </row>
    <row r="16" spans="2:14" ht="30" customHeight="1">
      <c r="B16" s="128" t="s">
        <v>62</v>
      </c>
      <c r="C16" s="44"/>
      <c r="D16" s="154">
        <f>INSTANCE_p1.4xlarge.16d_SEK*2</f>
        <v>27360</v>
      </c>
      <c r="E16" s="124">
        <f t="shared" si="3"/>
        <v>27360</v>
      </c>
      <c r="F16" s="126">
        <f t="shared" si="4"/>
        <v>2517.12</v>
      </c>
      <c r="G16" s="486"/>
      <c r="I16" s="121"/>
      <c r="J16" s="122"/>
      <c r="K16" s="483"/>
    </row>
    <row r="17" spans="2:7" s="459" customFormat="1" ht="30" customHeight="1">
      <c r="B17" s="139"/>
      <c r="C17" s="139"/>
      <c r="D17" s="147"/>
      <c r="E17" s="139"/>
      <c r="F17" s="139"/>
      <c r="G17" s="489"/>
    </row>
    <row r="18" spans="2:7" ht="30" customHeight="1">
      <c r="B18" s="118" t="s">
        <v>4</v>
      </c>
      <c r="C18" s="116"/>
      <c r="D18" s="117" t="s">
        <v>354</v>
      </c>
      <c r="E18" s="117" t="s">
        <v>203</v>
      </c>
      <c r="F18" s="117" t="s">
        <v>356</v>
      </c>
      <c r="G18" s="484" t="s">
        <v>373</v>
      </c>
    </row>
    <row r="19" spans="2:7" s="459" customFormat="1" ht="30" customHeight="1">
      <c r="B19" s="128" t="s">
        <v>67</v>
      </c>
      <c r="C19" s="44"/>
      <c r="D19" s="143">
        <v>1.2</v>
      </c>
      <c r="E19" s="124">
        <f>D19*SEK</f>
        <v>1.2</v>
      </c>
      <c r="F19" s="126">
        <f>D19*EUR</f>
        <v>0.1104</v>
      </c>
      <c r="G19" s="486">
        <f>(D19*(1+Safespring.price.increase))*(1+sunet.price.increase)</f>
        <v>1.476</v>
      </c>
    </row>
    <row r="20" spans="2:7" ht="30" customHeight="1">
      <c r="B20" s="84" t="s">
        <v>70</v>
      </c>
      <c r="C20" s="83"/>
      <c r="D20" s="143">
        <v>3.6</v>
      </c>
      <c r="E20" s="125">
        <f>D20*SEK</f>
        <v>3.6</v>
      </c>
      <c r="F20" s="127">
        <f>D20*EUR</f>
        <v>0.33119999999999999</v>
      </c>
      <c r="G20" s="487">
        <f>(D20*(1+Safespring.price.increase))*(1+sunet.price.increase)</f>
        <v>4.4279999999999999</v>
      </c>
    </row>
    <row r="21" spans="2:7" s="459" customFormat="1" ht="30" customHeight="1">
      <c r="B21" s="460"/>
      <c r="C21" s="460"/>
      <c r="D21" s="461"/>
      <c r="E21" s="460"/>
      <c r="F21" s="460"/>
      <c r="G21" s="490"/>
    </row>
    <row r="22" spans="2:7" ht="30" customHeight="1">
      <c r="B22" s="118" t="s">
        <v>86</v>
      </c>
      <c r="C22" s="116"/>
      <c r="D22" s="117" t="s">
        <v>354</v>
      </c>
      <c r="E22" s="117" t="s">
        <v>203</v>
      </c>
      <c r="F22" s="117" t="s">
        <v>356</v>
      </c>
      <c r="G22" s="484" t="s">
        <v>373</v>
      </c>
    </row>
    <row r="23" spans="2:7" ht="30" customHeight="1">
      <c r="B23" s="128" t="s">
        <v>378</v>
      </c>
      <c r="C23" s="44"/>
      <c r="D23" s="143">
        <v>2.4500000000000002</v>
      </c>
      <c r="E23" s="124">
        <f t="shared" ref="E23:E26" si="5">D23*SEK</f>
        <v>2.4500000000000002</v>
      </c>
      <c r="F23" s="126">
        <f t="shared" ref="F23:F26" si="6">D23*EUR</f>
        <v>0.22540000000000002</v>
      </c>
      <c r="G23" s="486"/>
    </row>
    <row r="24" spans="2:7" ht="30" customHeight="1">
      <c r="B24" s="84" t="s">
        <v>379</v>
      </c>
      <c r="C24" s="83"/>
      <c r="D24" s="144">
        <v>5500</v>
      </c>
      <c r="E24" s="125">
        <f t="shared" ref="E24:E25" si="7">D24*SEK</f>
        <v>5500</v>
      </c>
      <c r="F24" s="127">
        <f t="shared" ref="F24:F25" si="8">D24*EUR</f>
        <v>506</v>
      </c>
      <c r="G24" s="487"/>
    </row>
    <row r="25" spans="2:7" ht="30" customHeight="1">
      <c r="B25" s="128" t="s">
        <v>380</v>
      </c>
      <c r="C25" s="44"/>
      <c r="D25" s="143">
        <v>9500</v>
      </c>
      <c r="E25" s="124">
        <f t="shared" si="7"/>
        <v>9500</v>
      </c>
      <c r="F25" s="126">
        <f t="shared" si="8"/>
        <v>874</v>
      </c>
      <c r="G25" s="486"/>
    </row>
    <row r="26" spans="2:7" ht="30" customHeight="1">
      <c r="B26" s="84" t="s">
        <v>381</v>
      </c>
      <c r="C26" s="83"/>
      <c r="D26" s="144">
        <v>1.75</v>
      </c>
      <c r="E26" s="125">
        <f t="shared" si="5"/>
        <v>1.75</v>
      </c>
      <c r="F26" s="127">
        <f t="shared" si="6"/>
        <v>0.161</v>
      </c>
      <c r="G26" s="487"/>
    </row>
    <row r="27" spans="2:7" ht="30" customHeight="1">
      <c r="B27" s="128" t="s">
        <v>382</v>
      </c>
      <c r="C27" s="44"/>
      <c r="D27" s="143">
        <v>0.92</v>
      </c>
      <c r="E27" s="124">
        <f t="shared" ref="E27" si="9">D27*SEK</f>
        <v>0.92</v>
      </c>
      <c r="F27" s="126">
        <f t="shared" ref="F27" si="10">D27*EUR</f>
        <v>8.4640000000000007E-2</v>
      </c>
      <c r="G27" s="486"/>
    </row>
    <row r="28" spans="2:7" ht="30" customHeight="1">
      <c r="B28" s="462"/>
      <c r="C28" s="462"/>
      <c r="D28" s="462"/>
      <c r="E28" s="462"/>
      <c r="F28" s="462"/>
      <c r="G28" s="491"/>
    </row>
    <row r="29" spans="2:7" ht="30" customHeight="1">
      <c r="B29" s="118" t="s">
        <v>72</v>
      </c>
      <c r="C29" s="116"/>
      <c r="D29" s="117" t="s">
        <v>354</v>
      </c>
      <c r="E29" s="117" t="s">
        <v>203</v>
      </c>
      <c r="F29" s="117" t="s">
        <v>356</v>
      </c>
      <c r="G29" s="484" t="s">
        <v>373</v>
      </c>
    </row>
    <row r="30" spans="2:7" ht="30" customHeight="1">
      <c r="B30" s="128" t="s">
        <v>383</v>
      </c>
      <c r="C30" s="44"/>
      <c r="D30" s="401">
        <v>500</v>
      </c>
      <c r="E30" s="124">
        <f t="shared" ref="E30:E33" si="11">D30*SEK</f>
        <v>500</v>
      </c>
      <c r="F30" s="126">
        <f t="shared" ref="F30:F33" si="12">D30*EUR</f>
        <v>46</v>
      </c>
      <c r="G30" s="486">
        <v>0.35</v>
      </c>
    </row>
    <row r="31" spans="2:7" ht="30" customHeight="1">
      <c r="B31" s="528" t="s">
        <v>384</v>
      </c>
      <c r="C31" s="83"/>
      <c r="D31" s="401">
        <v>500</v>
      </c>
      <c r="E31" s="125">
        <f t="shared" si="11"/>
        <v>500</v>
      </c>
      <c r="F31" s="127">
        <f t="shared" si="12"/>
        <v>46</v>
      </c>
      <c r="G31" s="487">
        <v>0.19</v>
      </c>
    </row>
    <row r="32" spans="2:7" ht="30" customHeight="1">
      <c r="B32" s="128" t="s">
        <v>385</v>
      </c>
      <c r="C32" s="44"/>
      <c r="D32" s="401">
        <v>500</v>
      </c>
      <c r="E32" s="124">
        <f t="shared" si="11"/>
        <v>500</v>
      </c>
      <c r="F32" s="126">
        <f t="shared" si="12"/>
        <v>46</v>
      </c>
      <c r="G32" s="486">
        <v>0.1</v>
      </c>
    </row>
    <row r="33" spans="2:7" ht="30" customHeight="1">
      <c r="B33" s="528" t="s">
        <v>386</v>
      </c>
      <c r="C33" s="83"/>
      <c r="D33" s="401">
        <v>500</v>
      </c>
      <c r="E33" s="125">
        <f t="shared" si="11"/>
        <v>500</v>
      </c>
      <c r="F33" s="127">
        <f t="shared" si="12"/>
        <v>46</v>
      </c>
      <c r="G33" s="487">
        <v>0.06</v>
      </c>
    </row>
    <row r="34" spans="2:7" ht="30" customHeight="1">
      <c r="B34" s="128" t="s">
        <v>387</v>
      </c>
      <c r="C34" s="44"/>
      <c r="D34" s="401" t="s">
        <v>388</v>
      </c>
      <c r="E34" s="151" t="str">
        <f>D34</f>
        <v>Be om offert</v>
      </c>
      <c r="F34" s="603" t="s">
        <v>392</v>
      </c>
      <c r="G34" s="486" t="str">
        <f>S3_storage.quote_SEK</f>
        <v>Be om offert</v>
      </c>
    </row>
    <row r="35" spans="2:7" ht="30" customHeight="1">
      <c r="B35" s="528" t="s">
        <v>424</v>
      </c>
      <c r="C35" s="83"/>
      <c r="D35" s="401">
        <v>350</v>
      </c>
      <c r="E35" s="125">
        <f t="shared" ref="E35:E38" si="13">D35*SEK</f>
        <v>350</v>
      </c>
      <c r="F35" s="127">
        <f t="shared" ref="F35:F38" si="14">D35*EUR</f>
        <v>32.200000000000003</v>
      </c>
      <c r="G35" s="487">
        <v>0.35</v>
      </c>
    </row>
    <row r="36" spans="2:7" ht="30" customHeight="1">
      <c r="B36" s="128" t="s">
        <v>425</v>
      </c>
      <c r="C36" s="44"/>
      <c r="D36" s="401">
        <v>270</v>
      </c>
      <c r="E36" s="124">
        <f t="shared" si="13"/>
        <v>270</v>
      </c>
      <c r="F36" s="126">
        <f t="shared" si="14"/>
        <v>24.84</v>
      </c>
      <c r="G36" s="486">
        <v>0.19</v>
      </c>
    </row>
    <row r="37" spans="2:7" ht="30" customHeight="1">
      <c r="B37" s="528" t="s">
        <v>426</v>
      </c>
      <c r="C37" s="83"/>
      <c r="D37" s="401">
        <v>200</v>
      </c>
      <c r="E37" s="125">
        <f t="shared" si="13"/>
        <v>200</v>
      </c>
      <c r="F37" s="127">
        <f t="shared" si="14"/>
        <v>18.399999999999999</v>
      </c>
      <c r="G37" s="487">
        <v>0.1</v>
      </c>
    </row>
    <row r="38" spans="2:7" ht="30" customHeight="1">
      <c r="B38" s="128" t="s">
        <v>427</v>
      </c>
      <c r="C38" s="44"/>
      <c r="D38" s="401">
        <v>185</v>
      </c>
      <c r="E38" s="124">
        <f t="shared" si="13"/>
        <v>185</v>
      </c>
      <c r="F38" s="126">
        <f t="shared" si="14"/>
        <v>17.02</v>
      </c>
      <c r="G38" s="486">
        <v>0.06</v>
      </c>
    </row>
    <row r="39" spans="2:7" ht="30" customHeight="1">
      <c r="B39" s="528" t="s">
        <v>428</v>
      </c>
      <c r="C39" s="83"/>
      <c r="D39" s="401" t="s">
        <v>388</v>
      </c>
      <c r="E39" s="149" t="str">
        <f>D39</f>
        <v>Be om offert</v>
      </c>
      <c r="F39" s="604" t="s">
        <v>392</v>
      </c>
      <c r="G39" s="487" t="str">
        <f>S3_storage.quote_SEK</f>
        <v>Be om offert</v>
      </c>
    </row>
    <row r="40" spans="2:7" ht="30" customHeight="1">
      <c r="B40" s="462"/>
      <c r="C40" s="462"/>
      <c r="D40" s="462"/>
      <c r="E40" s="462"/>
      <c r="F40" s="462"/>
      <c r="G40" s="491"/>
    </row>
    <row r="41" spans="2:7" ht="30" customHeight="1">
      <c r="B41" s="118" t="s">
        <v>389</v>
      </c>
      <c r="C41" s="116"/>
      <c r="D41" s="117" t="s">
        <v>354</v>
      </c>
      <c r="E41" s="117" t="s">
        <v>203</v>
      </c>
      <c r="F41" s="117" t="s">
        <v>356</v>
      </c>
      <c r="G41" s="484" t="s">
        <v>373</v>
      </c>
    </row>
    <row r="42" spans="2:7" ht="30" customHeight="1">
      <c r="B42" s="128" t="s">
        <v>104</v>
      </c>
      <c r="C42" s="44"/>
      <c r="D42" s="143">
        <v>25</v>
      </c>
      <c r="E42" s="124">
        <f t="shared" ref="E42:E47" si="15">D42*SEK</f>
        <v>25</v>
      </c>
      <c r="F42" s="126">
        <f>D42*EUR</f>
        <v>2.2999999999999998</v>
      </c>
      <c r="G42" s="486" t="s">
        <v>94</v>
      </c>
    </row>
    <row r="43" spans="2:7" ht="30" customHeight="1">
      <c r="B43" s="84" t="s">
        <v>108</v>
      </c>
      <c r="C43" s="83"/>
      <c r="D43" s="143">
        <v>0</v>
      </c>
      <c r="E43" s="125">
        <f t="shared" si="15"/>
        <v>0</v>
      </c>
      <c r="F43" s="127">
        <f t="shared" ref="F43:F47" si="16">D43*EUR</f>
        <v>0</v>
      </c>
      <c r="G43" s="487" t="s">
        <v>94</v>
      </c>
    </row>
    <row r="44" spans="2:7" ht="30" customHeight="1">
      <c r="B44" s="128" t="s">
        <v>110</v>
      </c>
      <c r="C44" s="44"/>
      <c r="D44" s="143">
        <v>0</v>
      </c>
      <c r="E44" s="124">
        <f t="shared" si="15"/>
        <v>0</v>
      </c>
      <c r="F44" s="126">
        <f t="shared" si="16"/>
        <v>0</v>
      </c>
      <c r="G44" s="486" t="s">
        <v>94</v>
      </c>
    </row>
    <row r="45" spans="2:7" ht="30" customHeight="1">
      <c r="B45" s="84" t="s">
        <v>112</v>
      </c>
      <c r="C45" s="83"/>
      <c r="D45" s="143">
        <v>0.25</v>
      </c>
      <c r="E45" s="125">
        <f t="shared" si="15"/>
        <v>0.25</v>
      </c>
      <c r="F45" s="127">
        <f>D45*EUR</f>
        <v>2.3E-2</v>
      </c>
      <c r="G45" s="487" t="s">
        <v>94</v>
      </c>
    </row>
    <row r="46" spans="2:7" ht="30" customHeight="1">
      <c r="B46" s="128" t="s">
        <v>114</v>
      </c>
      <c r="C46" s="44"/>
      <c r="D46" s="143" t="s">
        <v>248</v>
      </c>
      <c r="E46" s="151" t="str">
        <f>D46</f>
        <v>Begär offert</v>
      </c>
      <c r="F46" s="613" t="s">
        <v>392</v>
      </c>
      <c r="G46" s="486" t="s">
        <v>94</v>
      </c>
    </row>
    <row r="47" spans="2:7" ht="30" customHeight="1">
      <c r="B47" s="84" t="s">
        <v>117</v>
      </c>
      <c r="C47" s="83"/>
      <c r="D47" s="143">
        <v>0</v>
      </c>
      <c r="E47" s="125">
        <f t="shared" si="15"/>
        <v>0</v>
      </c>
      <c r="F47" s="127">
        <f t="shared" si="16"/>
        <v>0</v>
      </c>
      <c r="G47" s="487" t="s">
        <v>94</v>
      </c>
    </row>
    <row r="48" spans="2:7" ht="30" customHeight="1">
      <c r="B48" s="128" t="s">
        <v>119</v>
      </c>
      <c r="C48" s="44"/>
      <c r="D48" s="143" t="s">
        <v>248</v>
      </c>
      <c r="E48" s="151" t="str">
        <f>D48</f>
        <v>Begär offert</v>
      </c>
      <c r="F48" s="152" t="s">
        <v>392</v>
      </c>
      <c r="G48" s="151" t="str">
        <f>S3_storage.quote_SEK</f>
        <v>Be om offert</v>
      </c>
    </row>
    <row r="49" spans="2:7" ht="30" customHeight="1">
      <c r="B49" s="84" t="s">
        <v>120</v>
      </c>
      <c r="C49" s="83"/>
      <c r="D49" s="144">
        <v>0</v>
      </c>
      <c r="E49" s="125">
        <f t="shared" ref="E49" si="17">D49*SEK</f>
        <v>0</v>
      </c>
      <c r="F49" s="127">
        <f t="shared" ref="F49" si="18">D49*EUR</f>
        <v>0</v>
      </c>
      <c r="G49" s="487" t="s">
        <v>94</v>
      </c>
    </row>
    <row r="50" spans="2:7" ht="30" customHeight="1">
      <c r="B50" s="460"/>
      <c r="C50" s="460"/>
      <c r="D50" s="461"/>
      <c r="E50" s="460"/>
      <c r="F50" s="460"/>
      <c r="G50" s="490"/>
    </row>
    <row r="51" spans="2:7" ht="30" customHeight="1">
      <c r="B51" s="118" t="s">
        <v>390</v>
      </c>
      <c r="C51" s="116"/>
      <c r="D51" s="117" t="s">
        <v>354</v>
      </c>
      <c r="E51" s="117" t="s">
        <v>203</v>
      </c>
      <c r="F51" s="117" t="s">
        <v>356</v>
      </c>
      <c r="G51" s="484" t="s">
        <v>373</v>
      </c>
    </row>
    <row r="52" spans="2:7" ht="30" customHeight="1">
      <c r="B52" s="128" t="s">
        <v>391</v>
      </c>
      <c r="C52" s="44"/>
      <c r="D52" s="143">
        <v>78</v>
      </c>
      <c r="E52" s="124">
        <f t="shared" ref="E52:E58" si="19">D52*SEK</f>
        <v>78</v>
      </c>
      <c r="F52" s="126">
        <f>D52*EUR</f>
        <v>7.1760000000000002</v>
      </c>
      <c r="G52" s="486" t="s">
        <v>94</v>
      </c>
    </row>
    <row r="53" spans="2:7" ht="30" customHeight="1">
      <c r="B53" s="84" t="s">
        <v>126</v>
      </c>
      <c r="C53" s="83"/>
      <c r="D53" s="143">
        <v>1498</v>
      </c>
      <c r="E53" s="125">
        <f t="shared" si="19"/>
        <v>1498</v>
      </c>
      <c r="F53" s="127">
        <f>D53*EUR</f>
        <v>137.816</v>
      </c>
      <c r="G53" s="487" t="s">
        <v>94</v>
      </c>
    </row>
    <row r="54" spans="2:7" ht="30" customHeight="1">
      <c r="B54" s="128" t="s">
        <v>128</v>
      </c>
      <c r="C54" s="44"/>
      <c r="D54" s="143"/>
      <c r="E54" s="151" t="s">
        <v>248</v>
      </c>
      <c r="F54" s="152" t="s">
        <v>392</v>
      </c>
      <c r="G54" s="486" t="s">
        <v>94</v>
      </c>
    </row>
    <row r="55" spans="2:7" ht="30" customHeight="1">
      <c r="B55" s="84" t="s">
        <v>130</v>
      </c>
      <c r="C55" s="83"/>
      <c r="D55" s="143"/>
      <c r="E55" s="149" t="s">
        <v>248</v>
      </c>
      <c r="F55" s="150" t="s">
        <v>392</v>
      </c>
      <c r="G55" s="487" t="s">
        <v>94</v>
      </c>
    </row>
    <row r="56" spans="2:7" ht="30" customHeight="1">
      <c r="B56" s="128" t="s">
        <v>393</v>
      </c>
      <c r="C56" s="44"/>
      <c r="D56" s="143"/>
      <c r="E56" s="151" t="s">
        <v>248</v>
      </c>
      <c r="F56" s="152" t="s">
        <v>392</v>
      </c>
      <c r="G56" s="486" t="s">
        <v>94</v>
      </c>
    </row>
    <row r="57" spans="2:7" ht="30" customHeight="1">
      <c r="B57" s="84" t="s">
        <v>134</v>
      </c>
      <c r="C57" s="83"/>
      <c r="D57" s="143"/>
      <c r="E57" s="149" t="s">
        <v>394</v>
      </c>
      <c r="F57" s="150" t="s">
        <v>395</v>
      </c>
      <c r="G57" s="487" t="s">
        <v>94</v>
      </c>
    </row>
    <row r="58" spans="2:7" ht="30" customHeight="1">
      <c r="B58" s="128" t="s">
        <v>136</v>
      </c>
      <c r="C58" s="44"/>
      <c r="D58" s="143">
        <v>400</v>
      </c>
      <c r="E58" s="124">
        <f t="shared" si="19"/>
        <v>400</v>
      </c>
      <c r="F58" s="126">
        <f>D58*EUR</f>
        <v>36.799999999999997</v>
      </c>
      <c r="G58" s="486" t="s">
        <v>94</v>
      </c>
    </row>
    <row r="59" spans="2:7" ht="30" customHeight="1">
      <c r="B59" s="460"/>
      <c r="C59" s="460"/>
      <c r="D59" s="461"/>
      <c r="E59" s="460"/>
      <c r="F59" s="460"/>
      <c r="G59" s="490"/>
    </row>
    <row r="60" spans="2:7" ht="30" customHeight="1">
      <c r="B60" s="118" t="s">
        <v>242</v>
      </c>
      <c r="C60" s="116"/>
      <c r="D60" s="117" t="s">
        <v>354</v>
      </c>
      <c r="E60" s="117" t="s">
        <v>203</v>
      </c>
      <c r="F60" s="117" t="s">
        <v>356</v>
      </c>
      <c r="G60" s="484" t="s">
        <v>373</v>
      </c>
    </row>
    <row r="61" spans="2:7" ht="30" customHeight="1">
      <c r="B61" s="128" t="s">
        <v>412</v>
      </c>
      <c r="C61" s="44"/>
      <c r="D61" s="143">
        <v>24000</v>
      </c>
      <c r="E61" s="151">
        <f t="shared" ref="E61" si="20">D61*SEK</f>
        <v>24000</v>
      </c>
      <c r="F61" s="152">
        <f t="shared" ref="F61" si="21">D61*EUR</f>
        <v>2208</v>
      </c>
      <c r="G61" s="486" t="s">
        <v>94</v>
      </c>
    </row>
    <row r="62" spans="2:7" ht="30" customHeight="1">
      <c r="B62" s="84" t="s">
        <v>413</v>
      </c>
      <c r="C62" s="83"/>
      <c r="D62" s="143">
        <v>15000</v>
      </c>
      <c r="E62" s="125">
        <f t="shared" ref="E62" si="22">D62*SEK</f>
        <v>15000</v>
      </c>
      <c r="F62" s="127">
        <f t="shared" ref="F62" si="23">D62*EUR</f>
        <v>1380</v>
      </c>
      <c r="G62" s="487" t="s">
        <v>94</v>
      </c>
    </row>
    <row r="63" spans="2:7" ht="30" customHeight="1">
      <c r="B63" s="128" t="s">
        <v>141</v>
      </c>
      <c r="C63" s="44"/>
      <c r="D63" s="143"/>
      <c r="E63" s="151" t="s">
        <v>248</v>
      </c>
      <c r="F63" s="152" t="s">
        <v>592</v>
      </c>
      <c r="G63" s="486" t="s">
        <v>94</v>
      </c>
    </row>
    <row r="64" spans="2:7" ht="30" customHeight="1">
      <c r="B64" s="84" t="s">
        <v>143</v>
      </c>
      <c r="C64" s="83"/>
      <c r="D64" s="143"/>
      <c r="E64" s="149" t="s">
        <v>248</v>
      </c>
      <c r="F64" s="150" t="s">
        <v>592</v>
      </c>
      <c r="G64" s="487" t="s">
        <v>94</v>
      </c>
    </row>
    <row r="65" spans="2:7" ht="30" customHeight="1">
      <c r="B65" s="128" t="s">
        <v>146</v>
      </c>
      <c r="C65" s="44"/>
      <c r="D65" s="143"/>
      <c r="E65" s="151" t="s">
        <v>248</v>
      </c>
      <c r="F65" s="152" t="s">
        <v>592</v>
      </c>
      <c r="G65" s="486" t="s">
        <v>94</v>
      </c>
    </row>
    <row r="66" spans="2:7" ht="30" customHeight="1">
      <c r="B66" s="84" t="s">
        <v>149</v>
      </c>
      <c r="C66" s="83"/>
      <c r="D66" s="143"/>
      <c r="E66" s="149" t="s">
        <v>248</v>
      </c>
      <c r="F66" s="150" t="s">
        <v>592</v>
      </c>
      <c r="G66" s="487" t="s">
        <v>94</v>
      </c>
    </row>
    <row r="67" spans="2:7" ht="30" customHeight="1">
      <c r="B67" s="128" t="s">
        <v>435</v>
      </c>
      <c r="C67" s="44"/>
      <c r="D67" s="143">
        <v>0</v>
      </c>
      <c r="E67" s="151">
        <f>D67*SEK</f>
        <v>0</v>
      </c>
      <c r="F67" s="152">
        <f>D67*EUR</f>
        <v>0</v>
      </c>
      <c r="G67" s="486" t="s">
        <v>94</v>
      </c>
    </row>
    <row r="68" spans="2:7" ht="30" customHeight="1">
      <c r="B68" s="460"/>
      <c r="C68" s="460"/>
      <c r="D68" s="461"/>
      <c r="E68" s="460"/>
      <c r="F68" s="460"/>
      <c r="G68" s="490"/>
    </row>
    <row r="69" spans="2:7" ht="30" customHeight="1">
      <c r="B69" s="118" t="s">
        <v>250</v>
      </c>
      <c r="C69" s="116"/>
      <c r="D69" s="117" t="s">
        <v>354</v>
      </c>
      <c r="E69" s="117" t="s">
        <v>203</v>
      </c>
      <c r="F69" s="117" t="s">
        <v>356</v>
      </c>
      <c r="G69" s="484" t="s">
        <v>373</v>
      </c>
    </row>
    <row r="70" spans="2:7" ht="30" customHeight="1">
      <c r="B70" s="128" t="s">
        <v>165</v>
      </c>
      <c r="C70" s="44"/>
      <c r="D70" s="143">
        <v>1127</v>
      </c>
      <c r="E70" s="435">
        <f>D70*SEK</f>
        <v>1127</v>
      </c>
      <c r="F70" s="438">
        <f t="shared" ref="F70:F75" si="24">D70*EUR</f>
        <v>103.684</v>
      </c>
      <c r="G70" s="486" t="s">
        <v>94</v>
      </c>
    </row>
    <row r="71" spans="2:7" ht="30" customHeight="1">
      <c r="B71" s="84" t="s">
        <v>167</v>
      </c>
      <c r="C71" s="83"/>
      <c r="D71" s="143">
        <v>1374</v>
      </c>
      <c r="E71" s="125">
        <f t="shared" ref="E71:E75" si="25">D71*SEK</f>
        <v>1374</v>
      </c>
      <c r="F71" s="439">
        <f t="shared" si="24"/>
        <v>126.408</v>
      </c>
      <c r="G71" s="487" t="s">
        <v>94</v>
      </c>
    </row>
    <row r="72" spans="2:7" ht="30" customHeight="1">
      <c r="B72" s="128" t="s">
        <v>169</v>
      </c>
      <c r="C72" s="44"/>
      <c r="D72" s="143">
        <v>1277</v>
      </c>
      <c r="E72" s="124">
        <f t="shared" si="25"/>
        <v>1277</v>
      </c>
      <c r="F72" s="440">
        <f t="shared" si="24"/>
        <v>117.48399999999999</v>
      </c>
      <c r="G72" s="486" t="s">
        <v>94</v>
      </c>
    </row>
    <row r="73" spans="2:7" ht="30" customHeight="1">
      <c r="B73" s="84" t="s">
        <v>171</v>
      </c>
      <c r="C73" s="83"/>
      <c r="D73" s="143">
        <v>1374</v>
      </c>
      <c r="E73" s="125">
        <f t="shared" si="25"/>
        <v>1374</v>
      </c>
      <c r="F73" s="439">
        <f t="shared" si="24"/>
        <v>126.408</v>
      </c>
      <c r="G73" s="487" t="s">
        <v>94</v>
      </c>
    </row>
    <row r="74" spans="2:7" ht="30" customHeight="1">
      <c r="B74" s="128" t="s">
        <v>173</v>
      </c>
      <c r="C74" s="44"/>
      <c r="D74" s="143">
        <v>1139</v>
      </c>
      <c r="E74" s="124">
        <f t="shared" si="25"/>
        <v>1139</v>
      </c>
      <c r="F74" s="440">
        <f t="shared" si="24"/>
        <v>104.788</v>
      </c>
      <c r="G74" s="486" t="s">
        <v>94</v>
      </c>
    </row>
    <row r="75" spans="2:7" ht="30" customHeight="1">
      <c r="B75" s="84" t="s">
        <v>175</v>
      </c>
      <c r="C75" s="83"/>
      <c r="D75" s="143">
        <v>1374</v>
      </c>
      <c r="E75" s="125">
        <f t="shared" si="25"/>
        <v>1374</v>
      </c>
      <c r="F75" s="439">
        <f t="shared" si="24"/>
        <v>126.408</v>
      </c>
      <c r="G75" s="487" t="s">
        <v>94</v>
      </c>
    </row>
  </sheetData>
  <sheetProtection selectLockedCells="1"/>
  <phoneticPr fontId="2" type="noConversion"/>
  <conditionalFormatting sqref="J9">
    <cfRule type="cellIs" dxfId="28" priority="42" operator="greaterThan">
      <formula>0</formula>
    </cfRule>
  </conditionalFormatting>
  <conditionalFormatting sqref="J10">
    <cfRule type="cellIs" dxfId="27" priority="43" operator="greaterThan">
      <formula>0</formula>
    </cfRule>
  </conditionalFormatting>
  <conditionalFormatting sqref="D42 D44 D48 D46">
    <cfRule type="cellIs" dxfId="26" priority="41" operator="greaterThan">
      <formula>0</formula>
    </cfRule>
  </conditionalFormatting>
  <conditionalFormatting sqref="D43 D45 D47">
    <cfRule type="cellIs" dxfId="25" priority="40" operator="greaterThan">
      <formula>0</formula>
    </cfRule>
  </conditionalFormatting>
  <conditionalFormatting sqref="D49">
    <cfRule type="cellIs" dxfId="24" priority="39" operator="greaterThan">
      <formula>0</formula>
    </cfRule>
  </conditionalFormatting>
  <conditionalFormatting sqref="D19">
    <cfRule type="cellIs" dxfId="23" priority="30" operator="greaterThan">
      <formula>0</formula>
    </cfRule>
  </conditionalFormatting>
  <conditionalFormatting sqref="D20">
    <cfRule type="cellIs" dxfId="22" priority="29" operator="greaterThan">
      <formula>0</formula>
    </cfRule>
  </conditionalFormatting>
  <conditionalFormatting sqref="D3 D5 D7:D8">
    <cfRule type="cellIs" dxfId="21" priority="34" operator="greaterThan">
      <formula>0</formula>
    </cfRule>
  </conditionalFormatting>
  <conditionalFormatting sqref="D4 D6">
    <cfRule type="cellIs" dxfId="20" priority="33" operator="greaterThan">
      <formula>0</formula>
    </cfRule>
  </conditionalFormatting>
  <conditionalFormatting sqref="D64 D66">
    <cfRule type="cellIs" dxfId="19" priority="23" operator="greaterThan">
      <formula>0</formula>
    </cfRule>
  </conditionalFormatting>
  <conditionalFormatting sqref="D27">
    <cfRule type="cellIs" dxfId="18" priority="22" operator="greaterThan">
      <formula>0</formula>
    </cfRule>
  </conditionalFormatting>
  <conditionalFormatting sqref="D61 D63 D65">
    <cfRule type="cellIs" dxfId="17" priority="24" operator="greaterThan">
      <formula>0</formula>
    </cfRule>
  </conditionalFormatting>
  <conditionalFormatting sqref="D15">
    <cfRule type="cellIs" dxfId="16" priority="20" operator="greaterThan">
      <formula>0</formula>
    </cfRule>
  </conditionalFormatting>
  <conditionalFormatting sqref="D23">
    <cfRule type="cellIs" dxfId="15" priority="28" operator="greaterThan">
      <formula>0</formula>
    </cfRule>
  </conditionalFormatting>
  <conditionalFormatting sqref="D26">
    <cfRule type="cellIs" dxfId="14" priority="27" operator="greaterThan">
      <formula>0</formula>
    </cfRule>
  </conditionalFormatting>
  <conditionalFormatting sqref="D52 D54 D56 D58">
    <cfRule type="cellIs" dxfId="13" priority="26" operator="greaterThan">
      <formula>0</formula>
    </cfRule>
  </conditionalFormatting>
  <conditionalFormatting sqref="D53 D55 D57">
    <cfRule type="cellIs" dxfId="12" priority="25" operator="greaterThan">
      <formula>0</formula>
    </cfRule>
  </conditionalFormatting>
  <conditionalFormatting sqref="D25">
    <cfRule type="cellIs" dxfId="11" priority="13" operator="greaterThan">
      <formula>0</formula>
    </cfRule>
  </conditionalFormatting>
  <conditionalFormatting sqref="D24">
    <cfRule type="cellIs" dxfId="10" priority="14" operator="greaterThan">
      <formula>0</formula>
    </cfRule>
  </conditionalFormatting>
  <conditionalFormatting sqref="D71 D73 D75">
    <cfRule type="cellIs" dxfId="9" priority="11" operator="greaterThan">
      <formula>0</formula>
    </cfRule>
  </conditionalFormatting>
  <conditionalFormatting sqref="D70 D72 D74">
    <cfRule type="cellIs" dxfId="8" priority="12" operator="greaterThan">
      <formula>0</formula>
    </cfRule>
  </conditionalFormatting>
  <conditionalFormatting sqref="D62">
    <cfRule type="cellIs" dxfId="7" priority="8" operator="greaterThan">
      <formula>0</formula>
    </cfRule>
  </conditionalFormatting>
  <conditionalFormatting sqref="K14">
    <cfRule type="cellIs" dxfId="6" priority="6" operator="greaterThan">
      <formula>0</formula>
    </cfRule>
  </conditionalFormatting>
  <conditionalFormatting sqref="K15">
    <cfRule type="cellIs" dxfId="5" priority="7" operator="greaterThan">
      <formula>0</formula>
    </cfRule>
  </conditionalFormatting>
  <conditionalFormatting sqref="D9:D10">
    <cfRule type="cellIs" dxfId="4" priority="5" operator="greaterThan">
      <formula>0</formula>
    </cfRule>
  </conditionalFormatting>
  <conditionalFormatting sqref="D11">
    <cfRule type="cellIs" dxfId="3" priority="4" operator="greaterThan">
      <formula>0</formula>
    </cfRule>
  </conditionalFormatting>
  <conditionalFormatting sqref="D36 D38 D30:D34">
    <cfRule type="cellIs" dxfId="2" priority="3" operator="greaterThan">
      <formula>0</formula>
    </cfRule>
  </conditionalFormatting>
  <conditionalFormatting sqref="D35 D37 D39">
    <cfRule type="cellIs" dxfId="1" priority="2" operator="greaterThan">
      <formula>0</formula>
    </cfRule>
  </conditionalFormatting>
  <conditionalFormatting sqref="D67">
    <cfRule type="cellIs" dxfId="0" priority="1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7</vt:i4>
      </vt:variant>
      <vt:variant>
        <vt:lpstr>Namngivna områden</vt:lpstr>
      </vt:variant>
      <vt:variant>
        <vt:i4>164</vt:i4>
      </vt:variant>
    </vt:vector>
  </HeadingPairs>
  <TitlesOfParts>
    <vt:vector size="171" baseType="lpstr">
      <vt:lpstr>SEK - Safesprings tjänster 2022</vt:lpstr>
      <vt:lpstr>EUR - Safespring services 2022</vt:lpstr>
      <vt:lpstr>EUR - Safespring services 2021</vt:lpstr>
      <vt:lpstr>NOK - Safespring tjenester 2022</vt:lpstr>
      <vt:lpstr>NOK - Safesprings tjeneste 2021</vt:lpstr>
      <vt:lpstr>SUNET SEK - priser 2020</vt:lpstr>
      <vt:lpstr>Data</vt:lpstr>
      <vt:lpstr>'EUR - Safespring services 2022'!b2_list_Antal_instanser</vt:lpstr>
      <vt:lpstr>'NOK - Safespring tjenester 2022'!b2_list_Antal_instanser</vt:lpstr>
      <vt:lpstr>b2_list_Antal_instanser</vt:lpstr>
      <vt:lpstr>'EUR - Safespring services 2022'!b2_list_ram</vt:lpstr>
      <vt:lpstr>'NOK - Safespring tjenester 2022'!b2_list_ram</vt:lpstr>
      <vt:lpstr>b2_list_ram</vt:lpstr>
      <vt:lpstr>'EUR - Safespring services 2022'!b2_list_vCPU</vt:lpstr>
      <vt:lpstr>'NOK - Safespring tjenester 2022'!b2_list_vCPU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services 2021'!Utskriftsområde</vt:lpstr>
      <vt:lpstr>'EUR - Safespring services 2022'!Utskriftsområde</vt:lpstr>
      <vt:lpstr>'NOK - Safespring tjenester 2022'!Utskriftsområde</vt:lpstr>
      <vt:lpstr>'NOK - Safesprings tjeneste 2021'!Utskriftsområde</vt:lpstr>
      <vt:lpstr>'SEK - Safesprings tjänster 2022'!Utskriftsområde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2021-05-24T15:41:49Z</cp:lastPrinted>
  <dcterms:created xsi:type="dcterms:W3CDTF">2015-05-31T16:02:08Z</dcterms:created>
  <dcterms:modified xsi:type="dcterms:W3CDTF">2022-09-27T09:44:08Z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