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\source\repos\DataStructuresProject3\DataStructuresProject3\"/>
    </mc:Choice>
  </mc:AlternateContent>
  <xr:revisionPtr revIDLastSave="0" documentId="13_ncr:1_{05C4AED2-A578-41FA-85A7-1DB7B69A0A02}" xr6:coauthVersionLast="45" xr6:coauthVersionMax="45" xr10:uidLastSave="{00000000-0000-0000-0000-000000000000}"/>
  <bookViews>
    <workbookView xWindow="10800" yWindow="870" windowWidth="18000" windowHeight="11055" xr2:uid="{B576BF06-D8E7-4931-8545-D57E9AAA9B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1" l="1"/>
  <c r="H23" i="1"/>
  <c r="D23" i="1"/>
  <c r="AX22" i="1"/>
  <c r="AR22" i="1"/>
  <c r="AL22" i="1"/>
  <c r="AF22" i="1"/>
  <c r="Z22" i="1"/>
  <c r="T22" i="1"/>
  <c r="N22" i="1"/>
  <c r="H22" i="1"/>
  <c r="D22" i="1"/>
  <c r="N21" i="1"/>
  <c r="H21" i="1"/>
  <c r="D21" i="1" l="1"/>
  <c r="AL20" i="1"/>
  <c r="AF20" i="1"/>
  <c r="Z20" i="1"/>
  <c r="T20" i="1"/>
  <c r="N20" i="1"/>
  <c r="H20" i="1"/>
  <c r="D20" i="1"/>
  <c r="AL19" i="1"/>
  <c r="AF19" i="1"/>
  <c r="Z19" i="1"/>
  <c r="T19" i="1"/>
  <c r="N19" i="1"/>
  <c r="H19" i="1"/>
  <c r="D19" i="1"/>
  <c r="Z18" i="1"/>
  <c r="T18" i="1"/>
  <c r="N18" i="1"/>
  <c r="H18" i="1"/>
  <c r="D18" i="1"/>
  <c r="Z17" i="1"/>
  <c r="T17" i="1"/>
  <c r="N17" i="1"/>
  <c r="H17" i="1"/>
  <c r="D17" i="1"/>
  <c r="BD16" i="1"/>
  <c r="AX16" i="1"/>
  <c r="AR16" i="1"/>
  <c r="AL16" i="1"/>
  <c r="AF16" i="1"/>
  <c r="Z16" i="1"/>
  <c r="T16" i="1"/>
  <c r="N16" i="1"/>
  <c r="H16" i="1"/>
  <c r="D16" i="1"/>
  <c r="N13" i="1"/>
  <c r="H13" i="1"/>
  <c r="D13" i="1"/>
  <c r="H10" i="1"/>
  <c r="D10" i="1"/>
  <c r="AF9" i="1"/>
  <c r="Z9" i="1"/>
  <c r="T9" i="1"/>
  <c r="N9" i="1"/>
  <c r="H9" i="1"/>
  <c r="D9" i="1"/>
  <c r="AR8" i="1"/>
  <c r="AL8" i="1"/>
  <c r="AF8" i="1"/>
  <c r="Z8" i="1"/>
  <c r="T8" i="1"/>
  <c r="N8" i="1"/>
  <c r="H8" i="1"/>
  <c r="D8" i="1"/>
  <c r="D7" i="1"/>
  <c r="Z6" i="1"/>
  <c r="N6" i="1"/>
  <c r="H6" i="1"/>
  <c r="D6" i="1"/>
  <c r="BD5" i="1"/>
  <c r="AX5" i="1"/>
  <c r="AR5" i="1"/>
  <c r="AL5" i="1"/>
  <c r="AF5" i="1"/>
  <c r="Z5" i="1"/>
  <c r="T5" i="1"/>
  <c r="N5" i="1"/>
  <c r="H5" i="1"/>
  <c r="D5" i="1"/>
  <c r="H4" i="1"/>
  <c r="D4" i="1"/>
  <c r="AR3" i="1"/>
  <c r="AL3" i="1"/>
  <c r="AF3" i="1"/>
  <c r="Z3" i="1"/>
  <c r="T3" i="1"/>
  <c r="N3" i="1"/>
  <c r="H3" i="1"/>
  <c r="D3" i="1"/>
  <c r="N14" i="1" l="1"/>
  <c r="H14" i="1"/>
  <c r="D14" i="1"/>
  <c r="D26" i="1"/>
  <c r="T26" i="1" l="1"/>
  <c r="N26" i="1"/>
  <c r="H26" i="1"/>
  <c r="Z26" i="1" l="1"/>
</calcChain>
</file>

<file path=xl/sharedStrings.xml><?xml version="1.0" encoding="utf-8"?>
<sst xmlns="http://schemas.openxmlformats.org/spreadsheetml/2006/main" count="290" uniqueCount="226">
  <si>
    <t>Number of Districts</t>
  </si>
  <si>
    <t>Number of Voters</t>
  </si>
  <si>
    <t>District Number</t>
  </si>
  <si>
    <t>% DEM</t>
  </si>
  <si>
    <t>% REP</t>
  </si>
  <si>
    <t>State</t>
  </si>
  <si>
    <t>Nevada</t>
  </si>
  <si>
    <t>Info:</t>
  </si>
  <si>
    <t>Number of voters used</t>
  </si>
  <si>
    <t>True Turnout</t>
  </si>
  <si>
    <t>Dem Senator</t>
  </si>
  <si>
    <t>Rep Senator</t>
  </si>
  <si>
    <t>NONE</t>
  </si>
  <si>
    <t>Dem Rep</t>
  </si>
  <si>
    <t>Rep Rep</t>
  </si>
  <si>
    <t>Dina Titus</t>
  </si>
  <si>
    <t>Joyce Bentley</t>
  </si>
  <si>
    <t>Patricia Ackerman</t>
  </si>
  <si>
    <t>Mark E. Amodei</t>
  </si>
  <si>
    <t>Suzzanne Lee</t>
  </si>
  <si>
    <t>Dan Rodimer</t>
  </si>
  <si>
    <t>Steven A. Horsford</t>
  </si>
  <si>
    <t>Jim Marchant</t>
  </si>
  <si>
    <t>Idaho</t>
  </si>
  <si>
    <t>Paulette Jordan</t>
  </si>
  <si>
    <t>Jim Risch</t>
  </si>
  <si>
    <t>Rudy Soto</t>
  </si>
  <si>
    <t>Russ Fulcher</t>
  </si>
  <si>
    <t>C. Aaron Swisher</t>
  </si>
  <si>
    <t>Mike Simpson</t>
  </si>
  <si>
    <t>Electoral Votes</t>
  </si>
  <si>
    <t>Alabama</t>
  </si>
  <si>
    <t>Doug Jones</t>
  </si>
  <si>
    <t>Tommy Tuberville</t>
  </si>
  <si>
    <t>James Averhart</t>
  </si>
  <si>
    <t>Jerry Carl</t>
  </si>
  <si>
    <t>Phyllis Harvey-Hall</t>
  </si>
  <si>
    <t>Barry Moore</t>
  </si>
  <si>
    <t>Adia Winfrey</t>
  </si>
  <si>
    <t>Mike Rogers</t>
  </si>
  <si>
    <t>Rick Neighbors</t>
  </si>
  <si>
    <t>Robert Aderholt</t>
  </si>
  <si>
    <t>Mo Brooks</t>
  </si>
  <si>
    <t>Gary Palmer</t>
  </si>
  <si>
    <t>Terri A. Sewell</t>
  </si>
  <si>
    <t>Alaska</t>
  </si>
  <si>
    <t>Al Gross</t>
  </si>
  <si>
    <t>Dan Sullivan</t>
  </si>
  <si>
    <t>Alyse S. Galvin</t>
  </si>
  <si>
    <t>Din Young</t>
  </si>
  <si>
    <t>Arizona</t>
  </si>
  <si>
    <t>Arkansas</t>
  </si>
  <si>
    <t>California</t>
  </si>
  <si>
    <t>Mark Kelley</t>
  </si>
  <si>
    <t>Martha McSally</t>
  </si>
  <si>
    <t>Tom O'Halleran</t>
  </si>
  <si>
    <t>Tiffany Shedd</t>
  </si>
  <si>
    <t>Ann Kirkpatrick</t>
  </si>
  <si>
    <t>Brandon Martin</t>
  </si>
  <si>
    <t>Raul Grijalva</t>
  </si>
  <si>
    <t>Daniel Wood</t>
  </si>
  <si>
    <t>Paul Gosar</t>
  </si>
  <si>
    <t>Delina DiSanto</t>
  </si>
  <si>
    <t>Joan Greene</t>
  </si>
  <si>
    <t>Andy Biggs</t>
  </si>
  <si>
    <t>Hiral Tipirneni</t>
  </si>
  <si>
    <t>David Schweikert</t>
  </si>
  <si>
    <t>Ruben Gallego</t>
  </si>
  <si>
    <t>Joshua Barnett</t>
  </si>
  <si>
    <t>Michael Muscato</t>
  </si>
  <si>
    <t>Debbie Lesko</t>
  </si>
  <si>
    <t>Greg Stanton</t>
  </si>
  <si>
    <t>Dave Giles</t>
  </si>
  <si>
    <t>Tom Crawford</t>
  </si>
  <si>
    <t>Ricky Dale Harrington Jr.</t>
  </si>
  <si>
    <t>Rick Crawford</t>
  </si>
  <si>
    <t>Joyce Elliot</t>
  </si>
  <si>
    <t>French Hill</t>
  </si>
  <si>
    <t>Celeste Williams</t>
  </si>
  <si>
    <t>Steve Womack</t>
  </si>
  <si>
    <t>William H. Hanson</t>
  </si>
  <si>
    <t>Bruce Westerman</t>
  </si>
  <si>
    <t>Colorado</t>
  </si>
  <si>
    <t>John W. Hickenlooper</t>
  </si>
  <si>
    <t>Cory Gardner</t>
  </si>
  <si>
    <t>Diana DeGette</t>
  </si>
  <si>
    <t>Shane Bolling</t>
  </si>
  <si>
    <t>Joe Neguse</t>
  </si>
  <si>
    <t>Charline Winn</t>
  </si>
  <si>
    <t>Diane E. Mitsch Bush</t>
  </si>
  <si>
    <t>Lauren Boebert</t>
  </si>
  <si>
    <t>Ike McCorkle</t>
  </si>
  <si>
    <t>Ken Buck</t>
  </si>
  <si>
    <t>Jillian Freelan</t>
  </si>
  <si>
    <t>Doug Lamborn</t>
  </si>
  <si>
    <t>Jason Crow</t>
  </si>
  <si>
    <t>Steve House</t>
  </si>
  <si>
    <t>Ed Perlmutter</t>
  </si>
  <si>
    <t>Charles Stockham</t>
  </si>
  <si>
    <t>Connecticut</t>
  </si>
  <si>
    <t>Delaware</t>
  </si>
  <si>
    <t>Florida</t>
  </si>
  <si>
    <t>Georgia</t>
  </si>
  <si>
    <t>Hawaii</t>
  </si>
  <si>
    <t>John B. Larson</t>
  </si>
  <si>
    <t>Mary Fay</t>
  </si>
  <si>
    <t>Joe Courtney</t>
  </si>
  <si>
    <t>Justin Anderson</t>
  </si>
  <si>
    <t>Rosa L. DeLauro</t>
  </si>
  <si>
    <t>Margaret Streicker</t>
  </si>
  <si>
    <t>Jim Himes</t>
  </si>
  <si>
    <t>Jonathan Riddle</t>
  </si>
  <si>
    <t>Jahana Hayes</t>
  </si>
  <si>
    <t>David X. Sullivan</t>
  </si>
  <si>
    <t>Christopher A. Coons</t>
  </si>
  <si>
    <t>Lauren Witzke</t>
  </si>
  <si>
    <t>Lisa Blunt Rochester</t>
  </si>
  <si>
    <t>Lee Murphy</t>
  </si>
  <si>
    <t xml:space="preserve">Ed Case </t>
  </si>
  <si>
    <t>Ron Curtis</t>
  </si>
  <si>
    <t>Kai Kahele</t>
  </si>
  <si>
    <t>Joe Akana</t>
  </si>
  <si>
    <t>Illinois</t>
  </si>
  <si>
    <t>Indiana</t>
  </si>
  <si>
    <t>Frank J. Mrvan</t>
  </si>
  <si>
    <t>Mark Leyva</t>
  </si>
  <si>
    <t>Patricia Hackett</t>
  </si>
  <si>
    <t>Jackie Walorski</t>
  </si>
  <si>
    <t>Chip Coldiron</t>
  </si>
  <si>
    <t>Jim Banks</t>
  </si>
  <si>
    <t>Joe Mackey</t>
  </si>
  <si>
    <t>Jim Baird</t>
  </si>
  <si>
    <t>Christina Hale</t>
  </si>
  <si>
    <t>Victoria Spartz</t>
  </si>
  <si>
    <t>Jeannine Lee Lake</t>
  </si>
  <si>
    <t xml:space="preserve"> </t>
  </si>
  <si>
    <t>Greg Pence</t>
  </si>
  <si>
    <t>Andre Carson</t>
  </si>
  <si>
    <t>Susan Marie Smith</t>
  </si>
  <si>
    <t>E. Thomasina Marsili</t>
  </si>
  <si>
    <t>Larry D. Bucshon</t>
  </si>
  <si>
    <t>Andy Ruff</t>
  </si>
  <si>
    <t>Trey Hollingsworth</t>
  </si>
  <si>
    <t>Iowa</t>
  </si>
  <si>
    <t>Theresa Greenfield</t>
  </si>
  <si>
    <t>Joni Ernst</t>
  </si>
  <si>
    <t>Abby Finkenauer</t>
  </si>
  <si>
    <t xml:space="preserve">Ashley Hinson  </t>
  </si>
  <si>
    <t>Rita R. Hart</t>
  </si>
  <si>
    <t>Mariannette Miller-Meeks</t>
  </si>
  <si>
    <t xml:space="preserve">Cindy Axne </t>
  </si>
  <si>
    <t>David Young</t>
  </si>
  <si>
    <t>J.D. Scholten</t>
  </si>
  <si>
    <t>Randy Feenstra</t>
  </si>
  <si>
    <t>Kansas</t>
  </si>
  <si>
    <t>Barbara Bollier</t>
  </si>
  <si>
    <t>Roger Marshall</t>
  </si>
  <si>
    <t>Kali Barnett</t>
  </si>
  <si>
    <t>Tracey Mann</t>
  </si>
  <si>
    <t>Michelle De La Isla</t>
  </si>
  <si>
    <t>Jake LaTurner</t>
  </si>
  <si>
    <t>Sharice L. Davids</t>
  </si>
  <si>
    <t>Amanda L. Adkins</t>
  </si>
  <si>
    <t>Laura Lombard</t>
  </si>
  <si>
    <t>Ron Estes</t>
  </si>
  <si>
    <t>Kentucky</t>
  </si>
  <si>
    <t>Amy McGrath</t>
  </si>
  <si>
    <t>Mitch McConnell</t>
  </si>
  <si>
    <t>James Rhodes</t>
  </si>
  <si>
    <t>James R. Comer</t>
  </si>
  <si>
    <t>Hank Linderman</t>
  </si>
  <si>
    <t>S. Brett Guthrie</t>
  </si>
  <si>
    <t>John A. Yarmuth</t>
  </si>
  <si>
    <t>Rhonda Palazzo</t>
  </si>
  <si>
    <t>Alexandra Owensby</t>
  </si>
  <si>
    <t>Thomas Massie</t>
  </si>
  <si>
    <t>Matthew Ryan Best</t>
  </si>
  <si>
    <t>Harold Rogers</t>
  </si>
  <si>
    <t xml:space="preserve">Josh Hicks </t>
  </si>
  <si>
    <t>Andy Barr</t>
  </si>
  <si>
    <t>Louisiana</t>
  </si>
  <si>
    <t>Derrick Edwards</t>
  </si>
  <si>
    <t>Bill Cassidy</t>
  </si>
  <si>
    <t>Lee Ann Dugas</t>
  </si>
  <si>
    <t>Steve Scalise</t>
  </si>
  <si>
    <t>Cedric L. Richmond</t>
  </si>
  <si>
    <t>David M. Schilling</t>
  </si>
  <si>
    <t>Braylon Harris</t>
  </si>
  <si>
    <t>Clay Higgins</t>
  </si>
  <si>
    <t>Kenny Houston</t>
  </si>
  <si>
    <t>Mike Johnson</t>
  </si>
  <si>
    <t>Sandra Christophe</t>
  </si>
  <si>
    <t>Luke J. Letlow</t>
  </si>
  <si>
    <t>Dartanyon Williams</t>
  </si>
  <si>
    <t>Garret Graves</t>
  </si>
  <si>
    <t>Maine</t>
  </si>
  <si>
    <t>Sara I. Gideons</t>
  </si>
  <si>
    <t>Susan Collins</t>
  </si>
  <si>
    <t>Chellie Pingree</t>
  </si>
  <si>
    <t>Jay Allen</t>
  </si>
  <si>
    <t>Jared Golden</t>
  </si>
  <si>
    <t>Dale John Crafts</t>
  </si>
  <si>
    <t>Maryland</t>
  </si>
  <si>
    <t>Massachusetts</t>
  </si>
  <si>
    <t>Michigan</t>
  </si>
  <si>
    <t>Mia Mason</t>
  </si>
  <si>
    <t>Andy Harris</t>
  </si>
  <si>
    <t>C.A. Dutch Ruppersberger</t>
  </si>
  <si>
    <t>Johnny Ray Salling</t>
  </si>
  <si>
    <t>John Sarbanes</t>
  </si>
  <si>
    <t>Charles Anthony</t>
  </si>
  <si>
    <t>Anthony G. Brown</t>
  </si>
  <si>
    <t>George E. McDermott</t>
  </si>
  <si>
    <t>Steny H. Hoyer</t>
  </si>
  <si>
    <t>Chris Palombi</t>
  </si>
  <si>
    <t>David J. Trone</t>
  </si>
  <si>
    <t>Neil C. Parrott</t>
  </si>
  <si>
    <t>Kweisi Mfume</t>
  </si>
  <si>
    <t>Himberly Klacik</t>
  </si>
  <si>
    <t>Jamie Raskin</t>
  </si>
  <si>
    <t>Gregory Thomas Coll</t>
  </si>
  <si>
    <t>Edward Markey</t>
  </si>
  <si>
    <t>Kevin O'Connor</t>
  </si>
  <si>
    <t>Richard Neal</t>
  </si>
  <si>
    <t>Alex Morse</t>
  </si>
  <si>
    <t xml:space="preserve">James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</si>
</sst>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AA11-795E-4093-A04F-1DFE9E42F9C1}">
  <dimension ref="A1:DC41"/>
  <sheetViews>
    <sheetView tabSelected="1" topLeftCell="L1" workbookViewId="0">
      <selection activeCell="R21" sqref="R21"/>
    </sheetView>
  </sheetViews>
  <sheetFormatPr defaultRowHeight="15" x14ac:dyDescent="0.25"/>
  <cols>
    <col min="1" max="1" width="14" bestFit="1" customWidth="1"/>
    <col min="2" max="2" width="22.7109375" bestFit="1" customWidth="1"/>
    <col min="3" max="3" width="17.28515625" bestFit="1" customWidth="1"/>
    <col min="4" max="4" width="16.140625" bestFit="1" customWidth="1"/>
    <col min="5" max="5" width="16.140625" customWidth="1"/>
    <col min="6" max="6" width="18.42578125" bestFit="1" customWidth="1"/>
    <col min="7" max="7" width="21.7109375" bestFit="1" customWidth="1"/>
    <col min="8" max="8" width="17" bestFit="1" customWidth="1"/>
    <col min="9" max="9" width="19" bestFit="1" customWidth="1"/>
    <col min="10" max="10" width="17" customWidth="1"/>
    <col min="13" max="13" width="15.140625" bestFit="1" customWidth="1"/>
    <col min="14" max="14" width="17" bestFit="1" customWidth="1"/>
    <col min="15" max="15" width="24.140625" bestFit="1" customWidth="1"/>
    <col min="16" max="16" width="24.7109375" bestFit="1" customWidth="1"/>
    <col min="17" max="17" width="7.28515625" customWidth="1"/>
    <col min="19" max="19" width="15.140625" bestFit="1" customWidth="1"/>
    <col min="20" max="20" width="17" bestFit="1" customWidth="1"/>
    <col min="21" max="21" width="19.42578125" bestFit="1" customWidth="1"/>
    <col min="22" max="22" width="17" customWidth="1"/>
    <col min="25" max="25" width="15.140625" bestFit="1" customWidth="1"/>
    <col min="26" max="26" width="16.140625" bestFit="1" customWidth="1"/>
    <col min="27" max="27" width="19" bestFit="1" customWidth="1"/>
    <col min="28" max="28" width="20.140625" bestFit="1" customWidth="1"/>
    <col min="32" max="32" width="17" bestFit="1" customWidth="1"/>
    <col min="33" max="33" width="18.28515625" bestFit="1" customWidth="1"/>
    <col min="34" max="34" width="15.7109375" bestFit="1" customWidth="1"/>
    <col min="35" max="35" width="8.42578125" customWidth="1"/>
    <col min="37" max="37" width="15.140625" bestFit="1" customWidth="1"/>
    <col min="39" max="39" width="18.5703125" bestFit="1" customWidth="1"/>
    <col min="40" max="40" width="16.42578125" bestFit="1" customWidth="1"/>
    <col min="43" max="43" width="15.140625" bestFit="1" customWidth="1"/>
    <col min="44" max="44" width="17" bestFit="1" customWidth="1"/>
    <col min="45" max="45" width="14" bestFit="1" customWidth="1"/>
    <col min="46" max="46" width="16.7109375" bestFit="1" customWidth="1"/>
    <col min="49" max="49" width="15.140625" bestFit="1" customWidth="1"/>
    <col min="50" max="50" width="17" bestFit="1" customWidth="1"/>
    <col min="51" max="51" width="19.28515625" bestFit="1" customWidth="1"/>
    <col min="52" max="52" width="19.42578125" bestFit="1" customWidth="1"/>
    <col min="55" max="55" width="15.140625" bestFit="1" customWidth="1"/>
    <col min="56" max="56" width="17" bestFit="1" customWidth="1"/>
    <col min="57" max="57" width="12.42578125" bestFit="1" customWidth="1"/>
    <col min="58" max="58" width="18" bestFit="1" customWidth="1"/>
  </cols>
  <sheetData>
    <row r="1" spans="1:107" x14ac:dyDescent="0.25">
      <c r="A1" t="s">
        <v>7</v>
      </c>
      <c r="D1" t="s">
        <v>9</v>
      </c>
      <c r="F1" s="2">
        <v>159544854</v>
      </c>
      <c r="G1" t="s">
        <v>8</v>
      </c>
      <c r="H1" s="2">
        <v>160000</v>
      </c>
      <c r="I1" s="2"/>
      <c r="J1" s="2"/>
    </row>
    <row r="2" spans="1:107" x14ac:dyDescent="0.25">
      <c r="A2" s="1" t="s">
        <v>5</v>
      </c>
      <c r="B2" s="1" t="s">
        <v>10</v>
      </c>
      <c r="C2" s="1" t="s">
        <v>11</v>
      </c>
      <c r="D2" s="1" t="s">
        <v>1</v>
      </c>
      <c r="E2" s="1" t="s">
        <v>30</v>
      </c>
      <c r="F2" s="1" t="s">
        <v>0</v>
      </c>
      <c r="G2" s="1" t="s">
        <v>2</v>
      </c>
      <c r="H2" s="1" t="s">
        <v>1</v>
      </c>
      <c r="I2" s="1" t="s">
        <v>13</v>
      </c>
      <c r="J2" s="1" t="s">
        <v>14</v>
      </c>
      <c r="K2" s="1" t="s">
        <v>3</v>
      </c>
      <c r="L2" s="1" t="s">
        <v>4</v>
      </c>
      <c r="M2" s="1" t="s">
        <v>2</v>
      </c>
      <c r="N2" s="1" t="s">
        <v>1</v>
      </c>
      <c r="O2" s="1" t="s">
        <v>13</v>
      </c>
      <c r="P2" s="1" t="s">
        <v>14</v>
      </c>
      <c r="Q2" s="1" t="s">
        <v>3</v>
      </c>
      <c r="R2" s="1" t="s">
        <v>4</v>
      </c>
      <c r="S2" s="1" t="s">
        <v>2</v>
      </c>
      <c r="T2" s="1" t="s">
        <v>1</v>
      </c>
      <c r="U2" s="1" t="s">
        <v>13</v>
      </c>
      <c r="V2" s="1" t="s">
        <v>14</v>
      </c>
      <c r="W2" s="1" t="s">
        <v>3</v>
      </c>
      <c r="X2" s="1" t="s">
        <v>4</v>
      </c>
      <c r="Y2" s="1" t="s">
        <v>2</v>
      </c>
      <c r="Z2" s="1" t="s">
        <v>1</v>
      </c>
      <c r="AA2" s="1" t="s">
        <v>13</v>
      </c>
      <c r="AB2" s="1" t="s">
        <v>14</v>
      </c>
      <c r="AC2" s="1" t="s">
        <v>3</v>
      </c>
      <c r="AD2" s="1" t="s">
        <v>4</v>
      </c>
      <c r="AE2" s="1" t="s">
        <v>2</v>
      </c>
      <c r="AF2" s="1" t="s">
        <v>1</v>
      </c>
      <c r="AG2" s="1" t="s">
        <v>13</v>
      </c>
      <c r="AH2" s="1" t="s">
        <v>14</v>
      </c>
      <c r="AI2" s="1" t="s">
        <v>3</v>
      </c>
      <c r="AJ2" s="1" t="s">
        <v>4</v>
      </c>
      <c r="AK2" s="1" t="s">
        <v>2</v>
      </c>
      <c r="AL2" s="1" t="s">
        <v>1</v>
      </c>
      <c r="AM2" s="1" t="s">
        <v>13</v>
      </c>
      <c r="AN2" s="1" t="s">
        <v>14</v>
      </c>
      <c r="AO2" s="1" t="s">
        <v>3</v>
      </c>
      <c r="AP2" s="1" t="s">
        <v>4</v>
      </c>
      <c r="AQ2" s="1" t="s">
        <v>2</v>
      </c>
      <c r="AR2" s="1" t="s">
        <v>1</v>
      </c>
      <c r="AS2" s="1" t="s">
        <v>13</v>
      </c>
      <c r="AT2" s="1" t="s">
        <v>14</v>
      </c>
      <c r="AU2" s="1" t="s">
        <v>3</v>
      </c>
      <c r="AV2" s="1" t="s">
        <v>4</v>
      </c>
      <c r="AW2" s="1" t="s">
        <v>2</v>
      </c>
      <c r="AX2" s="1" t="s">
        <v>1</v>
      </c>
      <c r="AY2" s="1" t="s">
        <v>13</v>
      </c>
      <c r="AZ2" s="1" t="s">
        <v>14</v>
      </c>
      <c r="BA2" s="1" t="s">
        <v>3</v>
      </c>
      <c r="BB2" s="1" t="s">
        <v>4</v>
      </c>
      <c r="BC2" s="1" t="s">
        <v>2</v>
      </c>
      <c r="BD2" s="1" t="s">
        <v>1</v>
      </c>
      <c r="BE2" s="1" t="s">
        <v>13</v>
      </c>
      <c r="BF2" s="1" t="s">
        <v>14</v>
      </c>
      <c r="BG2" s="1" t="s">
        <v>3</v>
      </c>
      <c r="BH2" s="1" t="s">
        <v>4</v>
      </c>
    </row>
    <row r="3" spans="1:107" x14ac:dyDescent="0.25">
      <c r="A3" s="3" t="s">
        <v>31</v>
      </c>
      <c r="B3" s="3" t="s">
        <v>32</v>
      </c>
      <c r="C3" s="3" t="s">
        <v>33</v>
      </c>
      <c r="D3" s="3">
        <f>ROUNDDOWN((2325000/F1)*H1,0)</f>
        <v>2331</v>
      </c>
      <c r="E3" s="3">
        <v>9</v>
      </c>
      <c r="F3" s="3">
        <v>7</v>
      </c>
      <c r="G3" s="3">
        <v>1</v>
      </c>
      <c r="H3" s="3">
        <f>ROUNDDOWN((116949+211825+301)/F1*H1,0)</f>
        <v>330</v>
      </c>
      <c r="I3" s="3" t="s">
        <v>34</v>
      </c>
      <c r="J3" s="3" t="s">
        <v>35</v>
      </c>
      <c r="K3" s="3">
        <v>0.35499999999999998</v>
      </c>
      <c r="L3" s="3">
        <v>0.64300000000000002</v>
      </c>
      <c r="M3" s="3">
        <v>2</v>
      </c>
      <c r="N3" s="3">
        <f>ROUNDDOWN((105286+197996+287)/F1*H1,0)</f>
        <v>304</v>
      </c>
      <c r="O3" s="3" t="s">
        <v>36</v>
      </c>
      <c r="P3" s="3" t="s">
        <v>37</v>
      </c>
      <c r="Q3" s="3">
        <v>0.34599999999999997</v>
      </c>
      <c r="R3" s="3">
        <v>0.65200000000000002</v>
      </c>
      <c r="S3" s="3">
        <v>3</v>
      </c>
      <c r="T3" s="3">
        <f>ROUNDDOWN(322234/F1*H1,0)</f>
        <v>323</v>
      </c>
      <c r="U3" s="3" t="s">
        <v>38</v>
      </c>
      <c r="V3" s="3" t="s">
        <v>39</v>
      </c>
      <c r="W3" s="3">
        <v>0.32400000000000001</v>
      </c>
      <c r="X3" s="3">
        <v>0.67400000000000004</v>
      </c>
      <c r="Y3" s="3">
        <v>4</v>
      </c>
      <c r="Z3" s="3">
        <f>ROUNDDOWN(318029/F1*H1,0)</f>
        <v>318</v>
      </c>
      <c r="AA3" s="3" t="s">
        <v>40</v>
      </c>
      <c r="AB3" s="3" t="s">
        <v>41</v>
      </c>
      <c r="AC3" s="3">
        <v>0.17599999999999999</v>
      </c>
      <c r="AD3" s="3">
        <v>0.82199999999999995</v>
      </c>
      <c r="AE3" s="3">
        <v>5</v>
      </c>
      <c r="AF3" s="3">
        <f>ROUNDDOWN(264160/F1*H1,0)</f>
        <v>264</v>
      </c>
      <c r="AG3" s="3" t="s">
        <v>12</v>
      </c>
      <c r="AH3" s="3" t="s">
        <v>42</v>
      </c>
      <c r="AI3" s="3">
        <v>0</v>
      </c>
      <c r="AJ3" s="3">
        <v>0.95799999999999996</v>
      </c>
      <c r="AK3" s="3">
        <v>6</v>
      </c>
      <c r="AL3" s="3">
        <f>ROUNDDOWN(282261/F1*H1,0)</f>
        <v>283</v>
      </c>
      <c r="AM3" s="3" t="s">
        <v>12</v>
      </c>
      <c r="AN3" s="3" t="s">
        <v>43</v>
      </c>
      <c r="AO3" s="3">
        <v>0</v>
      </c>
      <c r="AP3" s="3">
        <v>0.97099999999999997</v>
      </c>
      <c r="AQ3" s="3">
        <v>7</v>
      </c>
      <c r="AR3" s="3">
        <f>ROUNDDOWN(232331/F1*H1,0)</f>
        <v>232</v>
      </c>
      <c r="AS3" s="3" t="s">
        <v>44</v>
      </c>
      <c r="AT3" s="3" t="s">
        <v>12</v>
      </c>
      <c r="AU3" s="3">
        <v>0.97099999999999997</v>
      </c>
      <c r="AV3" s="3">
        <v>0</v>
      </c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</row>
    <row r="4" spans="1:107" x14ac:dyDescent="0.25">
      <c r="A4" s="3" t="s">
        <v>45</v>
      </c>
      <c r="B4" s="3" t="s">
        <v>46</v>
      </c>
      <c r="C4" s="3" t="s">
        <v>47</v>
      </c>
      <c r="D4" s="3">
        <f>ROUNDDOWN(361400/F1*H1,0)</f>
        <v>362</v>
      </c>
      <c r="E4" s="3">
        <v>3</v>
      </c>
      <c r="F4" s="3">
        <v>1</v>
      </c>
      <c r="G4" s="3">
        <v>1</v>
      </c>
      <c r="H4" s="3">
        <f>ROUNDDOWN(353165/F1*H1,0)</f>
        <v>354</v>
      </c>
      <c r="I4" s="3" t="s">
        <v>48</v>
      </c>
      <c r="J4" s="3" t="s">
        <v>49</v>
      </c>
      <c r="K4" s="3">
        <v>0.45200000000000001</v>
      </c>
      <c r="L4" s="3">
        <v>0.54400000000000004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</row>
    <row r="5" spans="1:107" x14ac:dyDescent="0.25">
      <c r="A5" s="3" t="s">
        <v>50</v>
      </c>
      <c r="B5" s="3" t="s">
        <v>53</v>
      </c>
      <c r="C5" s="3" t="s">
        <v>54</v>
      </c>
      <c r="D5" s="3">
        <f>ROUNDDOWN(3420565/F1*H1,0)</f>
        <v>3430</v>
      </c>
      <c r="E5" s="3">
        <v>11</v>
      </c>
      <c r="F5" s="3">
        <v>9</v>
      </c>
      <c r="G5" s="3">
        <v>1</v>
      </c>
      <c r="H5" s="3">
        <f>ROUNDDOWN(365178/F1*H1,0)</f>
        <v>366</v>
      </c>
      <c r="I5" s="3" t="s">
        <v>55</v>
      </c>
      <c r="J5" s="3" t="s">
        <v>56</v>
      </c>
      <c r="K5" s="3">
        <v>0.51600000000000001</v>
      </c>
      <c r="L5" s="3">
        <v>0.48299999999999998</v>
      </c>
      <c r="M5" s="3">
        <v>2</v>
      </c>
      <c r="N5" s="3">
        <f>ROUNDDOWN(380920/F1*H1,0)</f>
        <v>382</v>
      </c>
      <c r="O5" s="3" t="s">
        <v>57</v>
      </c>
      <c r="P5" s="3" t="s">
        <v>58</v>
      </c>
      <c r="Q5" s="3">
        <v>0.55100000000000005</v>
      </c>
      <c r="R5" s="3">
        <v>0.44800000000000001</v>
      </c>
      <c r="S5" s="3">
        <v>3</v>
      </c>
      <c r="T5" s="3">
        <f>ROUNDDOWN(269837/F1*H1,0)</f>
        <v>270</v>
      </c>
      <c r="U5" s="3" t="s">
        <v>59</v>
      </c>
      <c r="V5" s="3" t="s">
        <v>60</v>
      </c>
      <c r="W5" s="3">
        <v>0.64500000000000002</v>
      </c>
      <c r="X5" s="3">
        <v>0.35399999999999998</v>
      </c>
      <c r="Y5" s="3">
        <v>4</v>
      </c>
      <c r="Z5" s="3">
        <f>ROUNDDOWN(398486/F1*H1,0)</f>
        <v>399</v>
      </c>
      <c r="AA5" s="3" t="s">
        <v>62</v>
      </c>
      <c r="AB5" s="3" t="s">
        <v>61</v>
      </c>
      <c r="AC5" s="3">
        <v>0.30199999999999999</v>
      </c>
      <c r="AD5" s="3">
        <v>0.69699999999999995</v>
      </c>
      <c r="AE5" s="3">
        <v>5</v>
      </c>
      <c r="AF5" s="3">
        <f>ROUNDDOWN(445585/F1*H1,0)</f>
        <v>446</v>
      </c>
      <c r="AG5" s="3" t="s">
        <v>63</v>
      </c>
      <c r="AH5" s="3" t="s">
        <v>64</v>
      </c>
      <c r="AI5" s="3">
        <v>0.41099999999999998</v>
      </c>
      <c r="AJ5" s="3">
        <v>0.58799999999999997</v>
      </c>
      <c r="AK5" s="3">
        <v>6</v>
      </c>
      <c r="AL5" s="3">
        <f>ROUNDDOWN(417427/F1*H1,0)</f>
        <v>418</v>
      </c>
      <c r="AM5" s="3" t="s">
        <v>65</v>
      </c>
      <c r="AN5" s="3" t="s">
        <v>66</v>
      </c>
      <c r="AO5" s="3">
        <v>0.47799999999999998</v>
      </c>
      <c r="AP5" s="3">
        <v>0.52100000000000002</v>
      </c>
      <c r="AQ5" s="3">
        <v>7</v>
      </c>
      <c r="AR5" s="3">
        <f>ROUNDDOWN(215678/F1*H1,0)</f>
        <v>216</v>
      </c>
      <c r="AS5" s="3" t="s">
        <v>67</v>
      </c>
      <c r="AT5" s="3" t="s">
        <v>68</v>
      </c>
      <c r="AU5" s="3">
        <v>0.77600000000000002</v>
      </c>
      <c r="AV5" s="3">
        <v>0.23200000000000001</v>
      </c>
      <c r="AW5" s="3">
        <v>8</v>
      </c>
      <c r="AX5" s="3">
        <f>ROUNDDOWN(422449/F1*H1,0)</f>
        <v>423</v>
      </c>
      <c r="AY5" s="3" t="s">
        <v>69</v>
      </c>
      <c r="AZ5" s="3" t="s">
        <v>70</v>
      </c>
      <c r="BA5" s="3">
        <v>0.40400000000000003</v>
      </c>
      <c r="BB5" s="3">
        <v>0.59499999999999997</v>
      </c>
      <c r="BC5" s="3">
        <v>9</v>
      </c>
      <c r="BD5" s="3">
        <f>ROUNDDOWN(352274/F1*H1,0)</f>
        <v>353</v>
      </c>
      <c r="BE5" s="3" t="s">
        <v>71</v>
      </c>
      <c r="BF5" s="3" t="s">
        <v>72</v>
      </c>
      <c r="BG5" s="3">
        <v>0.61599999999999999</v>
      </c>
      <c r="BH5" s="3">
        <v>0.38300000000000001</v>
      </c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</row>
    <row r="6" spans="1:107" x14ac:dyDescent="0.25">
      <c r="A6" s="3" t="s">
        <v>51</v>
      </c>
      <c r="B6" s="3" t="s">
        <v>74</v>
      </c>
      <c r="C6" s="3" t="s">
        <v>73</v>
      </c>
      <c r="D6" s="3">
        <f>ROUNDDOWN(1223675/F1*H1,0)</f>
        <v>1227</v>
      </c>
      <c r="E6" s="3">
        <v>6</v>
      </c>
      <c r="F6" s="3">
        <v>4</v>
      </c>
      <c r="G6" s="3">
        <v>1</v>
      </c>
      <c r="H6" s="3">
        <f>ROUNDDOWN(237596/F1*H1,0)</f>
        <v>238</v>
      </c>
      <c r="I6" s="3" t="s">
        <v>12</v>
      </c>
      <c r="J6" s="3" t="s">
        <v>75</v>
      </c>
      <c r="K6" s="3">
        <v>0</v>
      </c>
      <c r="L6" s="3">
        <v>1</v>
      </c>
      <c r="M6" s="3">
        <v>2</v>
      </c>
      <c r="N6" s="3">
        <f>ROUNDDOWN(332503/F1*H1,0)</f>
        <v>333</v>
      </c>
      <c r="O6" s="3" t="s">
        <v>76</v>
      </c>
      <c r="P6" s="3" t="s">
        <v>77</v>
      </c>
      <c r="Q6" s="3">
        <v>0.44600000000000001</v>
      </c>
      <c r="R6" s="3">
        <v>0.55300000000000005</v>
      </c>
      <c r="S6" s="3">
        <v>3</v>
      </c>
      <c r="T6" s="3">
        <v>334262</v>
      </c>
      <c r="U6" s="3" t="s">
        <v>78</v>
      </c>
      <c r="V6" s="3" t="s">
        <v>79</v>
      </c>
      <c r="W6" s="3">
        <v>0.318</v>
      </c>
      <c r="X6" s="3">
        <v>0.64300000000000002</v>
      </c>
      <c r="Y6" s="3">
        <v>4</v>
      </c>
      <c r="Z6" s="3">
        <f>ROUNDDOWN(275035/F1*H1,0)</f>
        <v>275</v>
      </c>
      <c r="AA6" s="3" t="s">
        <v>80</v>
      </c>
      <c r="AB6" s="3" t="s">
        <v>81</v>
      </c>
      <c r="AC6" s="3">
        <v>0.27500000000000002</v>
      </c>
      <c r="AD6" s="3">
        <v>0.69599999999999995</v>
      </c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</row>
    <row r="7" spans="1:107" x14ac:dyDescent="0.25">
      <c r="A7" s="3" t="s">
        <v>52</v>
      </c>
      <c r="B7" s="3" t="s">
        <v>12</v>
      </c>
      <c r="C7" s="3" t="s">
        <v>12</v>
      </c>
      <c r="D7" s="3">
        <f>ROUNDDOWN(17790000/F1*H1,0)</f>
        <v>17840</v>
      </c>
      <c r="E7" s="3">
        <v>55</v>
      </c>
      <c r="F7" s="3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</row>
    <row r="8" spans="1:107" x14ac:dyDescent="0.25">
      <c r="A8" s="3" t="s">
        <v>82</v>
      </c>
      <c r="B8" s="3" t="s">
        <v>83</v>
      </c>
      <c r="C8" s="3" t="s">
        <v>84</v>
      </c>
      <c r="D8" s="3">
        <f>ROUNDDOWN(3295666/F1*H1,0)</f>
        <v>3305</v>
      </c>
      <c r="E8" s="3">
        <v>9</v>
      </c>
      <c r="F8" s="3">
        <v>7</v>
      </c>
      <c r="G8" s="3">
        <v>1</v>
      </c>
      <c r="H8" s="3">
        <f>ROUNDDOWN(450290/F1*H1,0)</f>
        <v>451</v>
      </c>
      <c r="I8" s="3" t="s">
        <v>85</v>
      </c>
      <c r="J8" s="3" t="s">
        <v>86</v>
      </c>
      <c r="K8" s="3">
        <v>0.73599999999999999</v>
      </c>
      <c r="L8" s="3">
        <v>0.23499999999999999</v>
      </c>
      <c r="M8" s="3">
        <v>2</v>
      </c>
      <c r="N8" s="3">
        <f>ROUNDDOWN(515663/F1*H1,0)</f>
        <v>517</v>
      </c>
      <c r="O8" s="3" t="s">
        <v>87</v>
      </c>
      <c r="P8" s="3" t="s">
        <v>88</v>
      </c>
      <c r="Q8" s="3">
        <v>0.61399999999999999</v>
      </c>
      <c r="R8" s="3">
        <v>0.35399999999999998</v>
      </c>
      <c r="S8" s="3">
        <v>3</v>
      </c>
      <c r="T8" s="3">
        <f>ROUNDDOWN(429319/F1*H1,0)</f>
        <v>430</v>
      </c>
      <c r="U8" s="3" t="s">
        <v>89</v>
      </c>
      <c r="V8" s="3" t="s">
        <v>90</v>
      </c>
      <c r="W8" s="3">
        <v>0.45200000000000001</v>
      </c>
      <c r="X8" s="3">
        <v>0.51300000000000001</v>
      </c>
      <c r="Y8" s="3">
        <v>4</v>
      </c>
      <c r="Z8" s="3">
        <f>ROUNDDOWN(475107/F1*H1,0)</f>
        <v>476</v>
      </c>
      <c r="AA8" s="3" t="s">
        <v>91</v>
      </c>
      <c r="AB8" s="3" t="s">
        <v>92</v>
      </c>
      <c r="AC8" s="3">
        <v>0.36599999999999999</v>
      </c>
      <c r="AD8" s="3">
        <v>0.60099999999999998</v>
      </c>
      <c r="AE8" s="3">
        <v>5</v>
      </c>
      <c r="AF8" s="3">
        <f>ROUNDDOWN(432407/F1*H1,0)</f>
        <v>433</v>
      </c>
      <c r="AG8" s="3" t="s">
        <v>93</v>
      </c>
      <c r="AH8" s="3" t="s">
        <v>94</v>
      </c>
      <c r="AI8" s="3">
        <v>0.373</v>
      </c>
      <c r="AJ8" s="3">
        <v>0.57499999999999996</v>
      </c>
      <c r="AK8" s="3">
        <v>6</v>
      </c>
      <c r="AL8" s="3">
        <f>ROUNDDOWN(438473/F1*H1,0)</f>
        <v>439</v>
      </c>
      <c r="AM8" s="3" t="s">
        <v>95</v>
      </c>
      <c r="AN8" s="3" t="s">
        <v>96</v>
      </c>
      <c r="AO8" s="3">
        <v>0.57099999999999995</v>
      </c>
      <c r="AP8" s="3">
        <v>0.39900000000000002</v>
      </c>
      <c r="AQ8" s="3">
        <v>7</v>
      </c>
      <c r="AR8" s="3">
        <f>ROUNDDOWN(423691/F1*H1,0)</f>
        <v>424</v>
      </c>
      <c r="AS8" s="3" t="s">
        <v>97</v>
      </c>
      <c r="AT8" s="3" t="s">
        <v>98</v>
      </c>
      <c r="AU8" s="3">
        <v>0.59099999999999997</v>
      </c>
      <c r="AV8" s="3">
        <v>0.376</v>
      </c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</row>
    <row r="9" spans="1:107" x14ac:dyDescent="0.25">
      <c r="A9" s="3" t="s">
        <v>99</v>
      </c>
      <c r="B9" s="3" t="s">
        <v>12</v>
      </c>
      <c r="C9" s="3" t="s">
        <v>12</v>
      </c>
      <c r="D9" s="3">
        <f>ROUNDDOWN(1861086/F1*H1,0)</f>
        <v>1866</v>
      </c>
      <c r="E9" s="3">
        <v>7</v>
      </c>
      <c r="F9" s="3">
        <v>5</v>
      </c>
      <c r="G9" s="3">
        <v>1</v>
      </c>
      <c r="H9" s="3">
        <f>ROUNDDOWN(349237/F1*H1,0)</f>
        <v>350</v>
      </c>
      <c r="I9" s="3" t="s">
        <v>104</v>
      </c>
      <c r="J9" s="3" t="s">
        <v>105</v>
      </c>
      <c r="K9" s="3">
        <v>0.60899999999999999</v>
      </c>
      <c r="L9" s="3">
        <v>0.34899999999999998</v>
      </c>
      <c r="M9" s="3">
        <v>2</v>
      </c>
      <c r="N9" s="3">
        <f>ROUNDDOWN(367181/F1*H1,0)</f>
        <v>368</v>
      </c>
      <c r="O9" s="3" t="s">
        <v>106</v>
      </c>
      <c r="P9" s="3" t="s">
        <v>107</v>
      </c>
      <c r="Q9" s="3">
        <v>0.56399999999999995</v>
      </c>
      <c r="R9" s="3">
        <v>0.38200000000000001</v>
      </c>
      <c r="S9" s="3">
        <v>3</v>
      </c>
      <c r="T9" s="3">
        <f>ROUNDDOWN((194259+131566+6030+9006+5240)/F1*H1,0)</f>
        <v>347</v>
      </c>
      <c r="U9" s="3" t="s">
        <v>108</v>
      </c>
      <c r="V9" s="3" t="s">
        <v>109</v>
      </c>
      <c r="W9" s="3">
        <v>0.56100000000000005</v>
      </c>
      <c r="X9" s="3">
        <v>0.38</v>
      </c>
      <c r="Y9" s="3">
        <v>4</v>
      </c>
      <c r="Z9" s="3">
        <f>ROUNDDOWN((223832+130627+5656+10)/F1*H1,0)</f>
        <v>361</v>
      </c>
      <c r="AA9" s="3" t="s">
        <v>110</v>
      </c>
      <c r="AB9" s="3" t="s">
        <v>111</v>
      </c>
      <c r="AC9" s="3">
        <v>0.621</v>
      </c>
      <c r="AD9" s="3">
        <v>0.36199999999999999</v>
      </c>
      <c r="AE9" s="3">
        <v>5</v>
      </c>
      <c r="AF9" s="3">
        <f>ROUNDDOWN((183797+151988+5052+8687)/F1*H1,0)</f>
        <v>350</v>
      </c>
      <c r="AG9" s="3" t="s">
        <v>112</v>
      </c>
      <c r="AH9" s="3" t="s">
        <v>113</v>
      </c>
      <c r="AI9" s="3">
        <v>0.52500000000000002</v>
      </c>
      <c r="AJ9" s="3">
        <v>0.434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</row>
    <row r="10" spans="1:107" x14ac:dyDescent="0.25">
      <c r="A10" s="3" t="s">
        <v>100</v>
      </c>
      <c r="B10" s="3" t="s">
        <v>114</v>
      </c>
      <c r="C10" s="3" t="s">
        <v>115</v>
      </c>
      <c r="D10" s="3">
        <f>ROUNDDOWN(509241/F1*H1,0)</f>
        <v>510</v>
      </c>
      <c r="E10" s="3">
        <v>3</v>
      </c>
      <c r="F10" s="3">
        <v>1</v>
      </c>
      <c r="G10" s="3">
        <v>1</v>
      </c>
      <c r="H10" s="3">
        <f>ROUNDDOWN((122642+34142+2565+1141)/F1*H1,0)</f>
        <v>160</v>
      </c>
      <c r="I10" s="3" t="s">
        <v>116</v>
      </c>
      <c r="J10" s="3" t="s">
        <v>117</v>
      </c>
      <c r="K10" s="3">
        <v>0.57599999999999996</v>
      </c>
      <c r="L10" s="3">
        <v>0.40200000000000002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</row>
    <row r="11" spans="1:107" x14ac:dyDescent="0.25">
      <c r="A11" s="3" t="s">
        <v>101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</row>
    <row r="12" spans="1:107" x14ac:dyDescent="0.25">
      <c r="A12" s="3" t="s">
        <v>102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</row>
    <row r="13" spans="1:107" x14ac:dyDescent="0.25">
      <c r="A13" s="3" t="s">
        <v>103</v>
      </c>
      <c r="B13" s="3" t="s">
        <v>12</v>
      </c>
      <c r="C13" s="3" t="s">
        <v>12</v>
      </c>
      <c r="D13" s="3">
        <f>ROUNDDOWN(597784/F1*H1,0)</f>
        <v>599</v>
      </c>
      <c r="E13" s="3">
        <v>4</v>
      </c>
      <c r="F13" s="3">
        <v>2</v>
      </c>
      <c r="G13" s="3">
        <v>1</v>
      </c>
      <c r="H13" s="3">
        <f>ROUNDDOWN((183245+71188)/F1*H1,0)</f>
        <v>255</v>
      </c>
      <c r="I13" s="3" t="s">
        <v>118</v>
      </c>
      <c r="J13" s="3" t="s">
        <v>119</v>
      </c>
      <c r="K13" s="3">
        <v>0.64700000000000002</v>
      </c>
      <c r="L13" s="3">
        <v>0.251</v>
      </c>
      <c r="M13" s="3">
        <v>2</v>
      </c>
      <c r="N13" s="3">
        <f>ROUNDDOWN((171517+84027+6785+6453+2659+661)/F1*H1,0)</f>
        <v>272</v>
      </c>
      <c r="O13" s="3" t="s">
        <v>120</v>
      </c>
      <c r="P13" s="3" t="s">
        <v>121</v>
      </c>
      <c r="Q13" s="3">
        <v>0.57899999999999996</v>
      </c>
      <c r="R13" s="3">
        <v>0.28399999999999997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</row>
    <row r="14" spans="1:107" x14ac:dyDescent="0.25">
      <c r="A14" s="3" t="s">
        <v>23</v>
      </c>
      <c r="B14" s="3" t="s">
        <v>24</v>
      </c>
      <c r="C14" s="3" t="s">
        <v>25</v>
      </c>
      <c r="D14" s="3">
        <f>ROUNDDOWN((875000/F1)*H1,0)</f>
        <v>877</v>
      </c>
      <c r="E14" s="3">
        <v>4</v>
      </c>
      <c r="F14" s="3">
        <v>2</v>
      </c>
      <c r="G14" s="3">
        <v>1</v>
      </c>
      <c r="H14" s="3">
        <f>ROUNDDOWN(458569/F1*H1,0)</f>
        <v>459</v>
      </c>
      <c r="I14" s="3" t="s">
        <v>26</v>
      </c>
      <c r="J14" s="3" t="s">
        <v>27</v>
      </c>
      <c r="K14" s="3">
        <v>0.28699999999999998</v>
      </c>
      <c r="L14" s="3">
        <v>0.67800000000000005</v>
      </c>
      <c r="M14" s="3">
        <v>2</v>
      </c>
      <c r="N14" s="3">
        <f>ROUNDDOWN(391333/F1*H1,0)</f>
        <v>392</v>
      </c>
      <c r="O14" s="3" t="s">
        <v>28</v>
      </c>
      <c r="P14" s="3" t="s">
        <v>29</v>
      </c>
      <c r="Q14" s="3">
        <v>0.317</v>
      </c>
      <c r="R14" s="3">
        <v>0.64100000000000001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</row>
    <row r="15" spans="1:107" x14ac:dyDescent="0.25">
      <c r="A15" s="3" t="s">
        <v>122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</row>
    <row r="16" spans="1:107" x14ac:dyDescent="0.25">
      <c r="A16" s="3" t="s">
        <v>123</v>
      </c>
      <c r="B16" s="3" t="s">
        <v>12</v>
      </c>
      <c r="C16" s="3" t="s">
        <v>12</v>
      </c>
      <c r="D16" s="3">
        <f>ROUNDDOWN(3068542/F1*H1,0)</f>
        <v>3077</v>
      </c>
      <c r="E16" s="3">
        <v>11</v>
      </c>
      <c r="F16" s="3">
        <v>9</v>
      </c>
      <c r="G16" s="3">
        <v>1</v>
      </c>
      <c r="H16" s="3">
        <f>ROUNDDOWN((185180+132247+9521)/F1*H1,0)</f>
        <v>327</v>
      </c>
      <c r="I16" s="3" t="s">
        <v>124</v>
      </c>
      <c r="J16" s="3" t="s">
        <v>125</v>
      </c>
      <c r="K16" s="3">
        <v>0.56599999999999995</v>
      </c>
      <c r="L16" s="3">
        <v>0.40400000000000003</v>
      </c>
      <c r="M16" s="3">
        <v>2</v>
      </c>
      <c r="N16" s="3">
        <f>ROUNDDOWN((183601+114967)/F1*H1,0)</f>
        <v>299</v>
      </c>
      <c r="O16" s="3" t="s">
        <v>126</v>
      </c>
      <c r="P16" s="3" t="s">
        <v>127</v>
      </c>
      <c r="Q16" s="3">
        <v>0.38500000000000001</v>
      </c>
      <c r="R16" s="3">
        <v>0.61499999999999999</v>
      </c>
      <c r="S16" s="3">
        <v>3</v>
      </c>
      <c r="T16" s="3">
        <f>ROUNDDOWN((220989+104762)/F1*H1,0)</f>
        <v>326</v>
      </c>
      <c r="U16" s="3" t="s">
        <v>128</v>
      </c>
      <c r="V16" s="3" t="s">
        <v>129</v>
      </c>
      <c r="W16" s="3">
        <v>0.32200000000000001</v>
      </c>
      <c r="X16" s="3">
        <v>0.67800000000000005</v>
      </c>
      <c r="Y16" s="3">
        <v>4</v>
      </c>
      <c r="Z16" s="3">
        <f>ROUNDDOWN((225531+112954)/F1*H1,0)</f>
        <v>339</v>
      </c>
      <c r="AA16" s="3" t="s">
        <v>130</v>
      </c>
      <c r="AB16" s="3" t="s">
        <v>131</v>
      </c>
      <c r="AC16" s="3">
        <v>0.33400000000000002</v>
      </c>
      <c r="AD16" s="3">
        <v>0.66600000000000004</v>
      </c>
      <c r="AE16" s="3">
        <v>5</v>
      </c>
      <c r="AF16" s="3">
        <f>ROUNDDOWN((208212+191226+16788)/F1*H1,0)</f>
        <v>417</v>
      </c>
      <c r="AG16" s="3" t="s">
        <v>132</v>
      </c>
      <c r="AH16" s="3" t="s">
        <v>133</v>
      </c>
      <c r="AI16" s="3">
        <v>0.45900000000000002</v>
      </c>
      <c r="AJ16" s="3">
        <v>0.5</v>
      </c>
      <c r="AK16" s="3">
        <v>6</v>
      </c>
      <c r="AL16" s="3">
        <f>ROUNDDOWN((225319+91103+11791)/F1*H1,0)</f>
        <v>329</v>
      </c>
      <c r="AM16" s="3" t="s">
        <v>134</v>
      </c>
      <c r="AN16" s="3" t="s">
        <v>136</v>
      </c>
      <c r="AO16" s="3">
        <v>0.27800000000000002</v>
      </c>
      <c r="AP16" s="3">
        <v>0.68700000000000006</v>
      </c>
      <c r="AQ16" s="3">
        <v>7</v>
      </c>
      <c r="AR16" s="3">
        <f>ROUNDDOWN((176422+106146)/F1*H1,0)</f>
        <v>283</v>
      </c>
      <c r="AS16" s="3" t="s">
        <v>137</v>
      </c>
      <c r="AT16" s="3" t="s">
        <v>138</v>
      </c>
      <c r="AU16" s="3">
        <v>0.624</v>
      </c>
      <c r="AV16" s="3">
        <v>0.376</v>
      </c>
      <c r="AW16" s="3">
        <v>8</v>
      </c>
      <c r="AX16" s="3">
        <f>ROUNDDOWN((214643+95691+10283)/F1*H1,0)</f>
        <v>321</v>
      </c>
      <c r="AY16" s="3" t="s">
        <v>139</v>
      </c>
      <c r="AZ16" s="3" t="s">
        <v>140</v>
      </c>
      <c r="BA16" s="3">
        <v>0.29799999999999999</v>
      </c>
      <c r="BB16" s="3">
        <v>0.66900000000000004</v>
      </c>
      <c r="BC16" s="3">
        <v>9</v>
      </c>
      <c r="BD16" s="3">
        <f>ROUNDDOWN((222057+122566+14415)/F1*H1,0)</f>
        <v>360</v>
      </c>
      <c r="BE16" s="3" t="s">
        <v>141</v>
      </c>
      <c r="BF16" s="3" t="s">
        <v>142</v>
      </c>
      <c r="BG16" s="3">
        <v>0.34100000000000003</v>
      </c>
      <c r="BH16" s="3">
        <v>0.61799999999999999</v>
      </c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</row>
    <row r="17" spans="1:107" x14ac:dyDescent="0.25">
      <c r="A17" s="3" t="s">
        <v>143</v>
      </c>
      <c r="B17" s="3" t="s">
        <v>144</v>
      </c>
      <c r="C17" s="3" t="s">
        <v>145</v>
      </c>
      <c r="D17" s="3">
        <f>ROUNDDOWN(1700130/F1*H1,0)</f>
        <v>1704</v>
      </c>
      <c r="E17" s="3">
        <v>6</v>
      </c>
      <c r="F17" s="3">
        <v>4</v>
      </c>
      <c r="G17" s="3">
        <v>1</v>
      </c>
      <c r="H17" s="3">
        <f>ROUNDDOWN(413869/F1*H1,0)</f>
        <v>415</v>
      </c>
      <c r="I17" s="3" t="s">
        <v>146</v>
      </c>
      <c r="J17" s="3" t="s">
        <v>147</v>
      </c>
      <c r="K17" s="3">
        <v>0.48599999999999999</v>
      </c>
      <c r="L17" s="3">
        <v>0.51200000000000001</v>
      </c>
      <c r="M17" s="3">
        <v>2</v>
      </c>
      <c r="N17" s="3">
        <f>ROUNDDOWN(394441/F1*H1,0)</f>
        <v>395</v>
      </c>
      <c r="O17" s="3" t="s">
        <v>148</v>
      </c>
      <c r="P17" s="3" t="s">
        <v>149</v>
      </c>
      <c r="Q17" s="3">
        <v>0.49909999999999999</v>
      </c>
      <c r="R17" s="3">
        <v>0.49909999999999999</v>
      </c>
      <c r="S17" s="3">
        <v>3</v>
      </c>
      <c r="T17" s="3">
        <f>ROUNDDOWN(447947/F1*H1,0)</f>
        <v>449</v>
      </c>
      <c r="U17" s="3" t="s">
        <v>150</v>
      </c>
      <c r="V17" s="3" t="s">
        <v>151</v>
      </c>
      <c r="W17" s="3">
        <v>0.48899999999999999</v>
      </c>
      <c r="X17" s="3">
        <v>0.47499999999999998</v>
      </c>
      <c r="Y17" s="3">
        <v>4</v>
      </c>
      <c r="Z17" s="3">
        <f>ROUNDDOWN(383022/F1*H1,0)</f>
        <v>384</v>
      </c>
      <c r="AA17" s="3" t="s">
        <v>152</v>
      </c>
      <c r="AB17" s="3" t="s">
        <v>153</v>
      </c>
      <c r="AC17" s="3">
        <v>0.377</v>
      </c>
      <c r="AD17" s="3">
        <v>0.61899999999999999</v>
      </c>
      <c r="AE17" s="3"/>
      <c r="AF17" s="3"/>
      <c r="AG17" s="3"/>
      <c r="AH17" s="3"/>
      <c r="AI17" s="3"/>
      <c r="AJ17" s="3"/>
      <c r="AK17" s="3"/>
      <c r="AL17" s="3"/>
      <c r="AM17" s="3" t="s">
        <v>135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</row>
    <row r="18" spans="1:107" x14ac:dyDescent="0.25">
      <c r="A18" s="3" t="s">
        <v>154</v>
      </c>
      <c r="B18" s="3" t="s">
        <v>155</v>
      </c>
      <c r="C18" s="3" t="s">
        <v>156</v>
      </c>
      <c r="D18" s="3">
        <f>ROUNDDOWN(1375125/F1*H1,0)</f>
        <v>1379</v>
      </c>
      <c r="E18" s="3">
        <v>6</v>
      </c>
      <c r="F18" s="3">
        <v>4</v>
      </c>
      <c r="G18" s="3">
        <v>1</v>
      </c>
      <c r="H18" s="3">
        <f>ROUNDDOWN((208229+84393)/F1*H1,0)</f>
        <v>293</v>
      </c>
      <c r="I18" s="3" t="s">
        <v>157</v>
      </c>
      <c r="J18" s="3" t="s">
        <v>158</v>
      </c>
      <c r="K18" s="3">
        <v>0.28799999999999998</v>
      </c>
      <c r="L18" s="3">
        <v>0.71099999999999997</v>
      </c>
      <c r="M18" s="3">
        <v>2</v>
      </c>
      <c r="N18" s="3">
        <f>ROUNDDOWN((185464+136650+14201)/F1*H1,0)</f>
        <v>337</v>
      </c>
      <c r="O18" s="3" t="s">
        <v>159</v>
      </c>
      <c r="P18" s="3" t="s">
        <v>160</v>
      </c>
      <c r="Q18" s="3">
        <v>0.40600000000000003</v>
      </c>
      <c r="R18" s="3">
        <v>0.55100000000000005</v>
      </c>
      <c r="S18" s="3">
        <v>3</v>
      </c>
      <c r="T18" s="3">
        <f>ROUNDDOWN((220049+178773+11596)/F1*H1,0)</f>
        <v>411</v>
      </c>
      <c r="U18" s="3" t="s">
        <v>161</v>
      </c>
      <c r="V18" s="3" t="s">
        <v>162</v>
      </c>
      <c r="W18" s="3">
        <v>0.53600000000000003</v>
      </c>
      <c r="X18" s="3">
        <v>0.435</v>
      </c>
      <c r="Y18" s="3">
        <v>4</v>
      </c>
      <c r="Z18" s="3">
        <f>ROUNDDOWN((203432+116166)/F1*H1,0)</f>
        <v>320</v>
      </c>
      <c r="AA18" s="3" t="s">
        <v>163</v>
      </c>
      <c r="AB18" s="3" t="s">
        <v>164</v>
      </c>
      <c r="AC18" s="3">
        <v>0.36299999999999999</v>
      </c>
      <c r="AD18" s="3">
        <v>0.63600000000000001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</row>
    <row r="19" spans="1:107" x14ac:dyDescent="0.25">
      <c r="A19" s="3" t="s">
        <v>165</v>
      </c>
      <c r="B19" s="3" t="s">
        <v>166</v>
      </c>
      <c r="C19" s="3" t="s">
        <v>167</v>
      </c>
      <c r="D19" s="3">
        <f>ROUNDDOWN(2150954/F1*H1,0)</f>
        <v>2157</v>
      </c>
      <c r="E19" s="3">
        <v>8</v>
      </c>
      <c r="F19" s="3">
        <v>6</v>
      </c>
      <c r="G19" s="3">
        <v>1</v>
      </c>
      <c r="H19" s="3">
        <f>ROUNDDOWN((246329+82141)/F1*H1,0)</f>
        <v>329</v>
      </c>
      <c r="I19" s="3" t="s">
        <v>168</v>
      </c>
      <c r="J19" s="3" t="s">
        <v>169</v>
      </c>
      <c r="K19" s="3">
        <v>0.75</v>
      </c>
      <c r="L19" s="3">
        <v>0.25</v>
      </c>
      <c r="M19" s="3">
        <v>2</v>
      </c>
      <c r="N19" s="3">
        <f>ROUNDDOWN(360399/F1*H1,0)</f>
        <v>361</v>
      </c>
      <c r="O19" s="3" t="s">
        <v>170</v>
      </c>
      <c r="P19" s="3" t="s">
        <v>171</v>
      </c>
      <c r="Q19" s="3">
        <v>0.26200000000000001</v>
      </c>
      <c r="R19" s="3">
        <v>0.70899999999999996</v>
      </c>
      <c r="S19" s="3">
        <v>3</v>
      </c>
      <c r="T19" s="3">
        <f>ROUNDDOWN(368097/F1*H1,0)</f>
        <v>369</v>
      </c>
      <c r="U19" s="3" t="s">
        <v>172</v>
      </c>
      <c r="V19" s="3" t="s">
        <v>173</v>
      </c>
      <c r="W19" s="3">
        <v>0.627</v>
      </c>
      <c r="X19" s="3">
        <v>0.373</v>
      </c>
      <c r="Y19" s="3">
        <v>4</v>
      </c>
      <c r="Z19" s="3">
        <f>ROUNDDOWN(382509/F1*H1,0)</f>
        <v>383</v>
      </c>
      <c r="AA19" s="3" t="s">
        <v>174</v>
      </c>
      <c r="AB19" s="3" t="s">
        <v>175</v>
      </c>
      <c r="AC19" s="3">
        <v>0.67100000000000004</v>
      </c>
      <c r="AD19" s="3">
        <v>0.32900000000000001</v>
      </c>
      <c r="AE19" s="3">
        <v>5</v>
      </c>
      <c r="AF19" s="3">
        <f>ROUNDDOWN(297970/F1*H1,0)</f>
        <v>298</v>
      </c>
      <c r="AG19" s="3" t="s">
        <v>176</v>
      </c>
      <c r="AH19" s="3" t="s">
        <v>177</v>
      </c>
      <c r="AI19" s="3">
        <v>0.84199999999999997</v>
      </c>
      <c r="AJ19" s="3">
        <v>0.158</v>
      </c>
      <c r="AK19" s="3">
        <v>6</v>
      </c>
      <c r="AL19" s="3">
        <f>ROUNDDOWN(378450/F1*H1,0)</f>
        <v>379</v>
      </c>
      <c r="AM19" s="3" t="s">
        <v>178</v>
      </c>
      <c r="AN19" s="3" t="s">
        <v>179</v>
      </c>
      <c r="AO19" s="3">
        <v>0.57299999999999995</v>
      </c>
      <c r="AP19" s="3">
        <v>0.40899999999999997</v>
      </c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</row>
    <row r="20" spans="1:107" x14ac:dyDescent="0.25">
      <c r="A20" s="3" t="s">
        <v>180</v>
      </c>
      <c r="B20" s="3" t="s">
        <v>181</v>
      </c>
      <c r="C20" s="3" t="s">
        <v>182</v>
      </c>
      <c r="D20" s="3">
        <f>ROUNDDOWN(2180000/F1*H1,0)</f>
        <v>2186</v>
      </c>
      <c r="E20" s="3">
        <v>8</v>
      </c>
      <c r="F20" s="3">
        <v>6</v>
      </c>
      <c r="G20" s="3">
        <v>1</v>
      </c>
      <c r="H20" s="3">
        <f>ROUNDDOWN(374369/F1*H1,0)</f>
        <v>375</v>
      </c>
      <c r="I20" s="3" t="s">
        <v>183</v>
      </c>
      <c r="J20" s="3" t="s">
        <v>184</v>
      </c>
      <c r="K20" s="3">
        <v>0.25</v>
      </c>
      <c r="L20" s="3">
        <v>0.72</v>
      </c>
      <c r="M20" s="3">
        <v>2</v>
      </c>
      <c r="N20" s="3">
        <f>ROUNDDOWN(316982/F1*H1,0)</f>
        <v>317</v>
      </c>
      <c r="O20" s="3" t="s">
        <v>185</v>
      </c>
      <c r="P20" s="3" t="s">
        <v>186</v>
      </c>
      <c r="Q20" s="3">
        <v>0.64</v>
      </c>
      <c r="R20" s="3">
        <v>0.15</v>
      </c>
      <c r="S20" s="3">
        <v>3</v>
      </c>
      <c r="T20" s="3">
        <f>ROUNDDOWN(340120/F1*H1,0)</f>
        <v>341</v>
      </c>
      <c r="U20" s="3" t="s">
        <v>187</v>
      </c>
      <c r="V20" s="3" t="s">
        <v>188</v>
      </c>
      <c r="W20" s="3">
        <v>0.18</v>
      </c>
      <c r="X20" s="3">
        <v>0.68</v>
      </c>
      <c r="Y20" s="3">
        <v>4</v>
      </c>
      <c r="Z20" s="3">
        <f>ROUNDDOWN(306578/F1*H1,0)</f>
        <v>307</v>
      </c>
      <c r="AA20" s="3" t="s">
        <v>189</v>
      </c>
      <c r="AB20" s="3" t="s">
        <v>190</v>
      </c>
      <c r="AC20" s="3">
        <v>0.6</v>
      </c>
      <c r="AD20" s="3">
        <v>0.25</v>
      </c>
      <c r="AE20" s="3">
        <v>5</v>
      </c>
      <c r="AF20" s="3">
        <f>ROUNDDOWN(309556/F1*H1,0)</f>
        <v>310</v>
      </c>
      <c r="AG20" s="3" t="s">
        <v>191</v>
      </c>
      <c r="AH20" s="3" t="s">
        <v>192</v>
      </c>
      <c r="AI20" s="3">
        <v>0.16</v>
      </c>
      <c r="AJ20" s="3">
        <v>0.33</v>
      </c>
      <c r="AK20" s="3">
        <v>6</v>
      </c>
      <c r="AL20" s="3">
        <f>ROUNDDOWN(373996/F1*H1,0)</f>
        <v>375</v>
      </c>
      <c r="AM20" s="3" t="s">
        <v>193</v>
      </c>
      <c r="AN20" s="3" t="s">
        <v>194</v>
      </c>
      <c r="AO20" s="3">
        <v>0.71</v>
      </c>
      <c r="AP20" s="3">
        <v>0.26</v>
      </c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</row>
    <row r="21" spans="1:107" x14ac:dyDescent="0.25">
      <c r="A21" s="3" t="s">
        <v>195</v>
      </c>
      <c r="B21" s="3" t="s">
        <v>196</v>
      </c>
      <c r="C21" s="3" t="s">
        <v>197</v>
      </c>
      <c r="D21" s="3">
        <f>ROUNDDOWN(828305/F1*H1,0)</f>
        <v>830</v>
      </c>
      <c r="E21" s="3">
        <v>4</v>
      </c>
      <c r="F21" s="3">
        <v>2</v>
      </c>
      <c r="G21" s="3">
        <v>1</v>
      </c>
      <c r="H21" s="3">
        <f>ROUNDDOWN(447987/F1*H1,0)</f>
        <v>449</v>
      </c>
      <c r="I21" s="3" t="s">
        <v>198</v>
      </c>
      <c r="J21" s="3" t="s">
        <v>199</v>
      </c>
      <c r="K21" s="3">
        <v>0.36799999999999999</v>
      </c>
      <c r="L21" s="3">
        <v>0.60399999999999998</v>
      </c>
      <c r="M21" s="3">
        <v>2</v>
      </c>
      <c r="N21" s="3">
        <f>ROUNDDOWN(380324/F1*H1,0)</f>
        <v>381</v>
      </c>
      <c r="O21" s="3" t="s">
        <v>200</v>
      </c>
      <c r="P21" s="3" t="s">
        <v>201</v>
      </c>
      <c r="Q21" s="3">
        <v>0.46</v>
      </c>
      <c r="R21" s="3">
        <v>0.52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</row>
    <row r="22" spans="1:107" x14ac:dyDescent="0.25">
      <c r="A22" s="3" t="s">
        <v>202</v>
      </c>
      <c r="B22" s="3" t="s">
        <v>12</v>
      </c>
      <c r="C22" s="3" t="s">
        <v>12</v>
      </c>
      <c r="D22" s="3">
        <f>ROUNDDOWN(2975000/F1*H1,0)</f>
        <v>2983</v>
      </c>
      <c r="E22" s="3">
        <v>10</v>
      </c>
      <c r="F22" s="3">
        <v>8</v>
      </c>
      <c r="G22" s="3">
        <v>1</v>
      </c>
      <c r="H22" s="3">
        <f>ROUNDDOWN((250901+143877+746)/F1*H1,0)</f>
        <v>396</v>
      </c>
      <c r="I22" s="3" t="s">
        <v>205</v>
      </c>
      <c r="J22" s="3" t="s">
        <v>206</v>
      </c>
      <c r="K22" s="3">
        <v>0.36399999999999999</v>
      </c>
      <c r="L22" s="3">
        <v>0.63400000000000001</v>
      </c>
      <c r="M22" s="3">
        <v>2</v>
      </c>
      <c r="N22" s="3">
        <f>ROUNDDOWN((106355+244836+835)/F1*H1,0)</f>
        <v>353</v>
      </c>
      <c r="O22" s="3" t="s">
        <v>207</v>
      </c>
      <c r="P22" s="3" t="s">
        <v>208</v>
      </c>
      <c r="Q22" s="3">
        <v>0.67700000000000005</v>
      </c>
      <c r="R22" s="3">
        <v>0.32</v>
      </c>
      <c r="S22" s="3">
        <v>3</v>
      </c>
      <c r="T22" s="3">
        <f>ROUNDDOWN((112117+260358+731)/F1*H1,0)</f>
        <v>374</v>
      </c>
      <c r="U22" s="3" t="s">
        <v>209</v>
      </c>
      <c r="V22" s="3" t="s">
        <v>210</v>
      </c>
      <c r="W22" s="3">
        <v>0.69799999999999995</v>
      </c>
      <c r="X22" s="3">
        <v>0.3</v>
      </c>
      <c r="Y22" s="3">
        <v>4</v>
      </c>
      <c r="Z22" s="3">
        <f>ROUNDDOWN((71671+282119)/F1*H1,0)</f>
        <v>354</v>
      </c>
      <c r="AA22" s="3" t="s">
        <v>211</v>
      </c>
      <c r="AB22" s="3" t="s">
        <v>212</v>
      </c>
      <c r="AC22" s="3">
        <v>0.79600000000000004</v>
      </c>
      <c r="AD22" s="3">
        <v>0.20200000000000001</v>
      </c>
      <c r="AE22" s="3">
        <v>5</v>
      </c>
      <c r="AF22" s="3">
        <f>ROUNDDOWN((123535+274210+1104)/F1*H1,0)</f>
        <v>399</v>
      </c>
      <c r="AG22" s="3" t="s">
        <v>213</v>
      </c>
      <c r="AH22" s="3" t="s">
        <v>214</v>
      </c>
      <c r="AI22" s="3">
        <v>0.68799999999999994</v>
      </c>
      <c r="AJ22" s="3">
        <v>0.31</v>
      </c>
      <c r="AK22" s="3">
        <v>6</v>
      </c>
      <c r="AL22" s="3">
        <f>ROUNDDOWN((143599+215540+6893+46+356)/F1*H1,0)</f>
        <v>367</v>
      </c>
      <c r="AM22" s="3" t="s">
        <v>215</v>
      </c>
      <c r="AN22" s="3" t="s">
        <v>216</v>
      </c>
      <c r="AO22" s="3">
        <v>0.58799999999999997</v>
      </c>
      <c r="AP22" s="3">
        <v>0.39200000000000002</v>
      </c>
      <c r="AQ22" s="3">
        <v>7</v>
      </c>
      <c r="AR22" s="3">
        <f>ROUNDDOWN((92825+237084+16+21+1052)/F1*H1,0)</f>
        <v>331</v>
      </c>
      <c r="AS22" s="3" t="s">
        <v>217</v>
      </c>
      <c r="AT22" s="3" t="s">
        <v>218</v>
      </c>
      <c r="AU22" s="3">
        <v>0.71599999999999997</v>
      </c>
      <c r="AV22" s="3">
        <v>0.28000000000000003</v>
      </c>
      <c r="AW22" s="3">
        <v>8</v>
      </c>
      <c r="AX22" s="3">
        <f>ROUNDDOWN((55383+55452+5+213)/F1*H1,0)</f>
        <v>111</v>
      </c>
      <c r="AY22" s="3" t="s">
        <v>219</v>
      </c>
      <c r="AZ22" s="3" t="s">
        <v>220</v>
      </c>
      <c r="BA22" s="3">
        <v>0.68200000000000005</v>
      </c>
      <c r="BB22" s="3">
        <v>0.316</v>
      </c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</row>
    <row r="23" spans="1:107" x14ac:dyDescent="0.25">
      <c r="A23" s="3" t="s">
        <v>203</v>
      </c>
      <c r="B23" s="3" t="s">
        <v>221</v>
      </c>
      <c r="C23" s="3" t="s">
        <v>222</v>
      </c>
      <c r="D23" s="3">
        <f>ROUNDDOWN(3658005/F1*H1,0)</f>
        <v>3668</v>
      </c>
      <c r="E23" s="3">
        <v>11</v>
      </c>
      <c r="F23" s="3">
        <v>9</v>
      </c>
      <c r="G23" s="3">
        <v>1</v>
      </c>
      <c r="H23" s="3">
        <f>ROUNDDOWN(372716/F1*H1,0)</f>
        <v>373</v>
      </c>
      <c r="I23" s="3" t="s">
        <v>223</v>
      </c>
      <c r="J23" s="3" t="s">
        <v>224</v>
      </c>
      <c r="K23" s="3">
        <v>0.96499999999999997</v>
      </c>
      <c r="L23" s="3">
        <v>4.0000000000000001E-3</v>
      </c>
      <c r="M23" s="3">
        <v>2</v>
      </c>
      <c r="N23" s="3">
        <f>ROUNDDOWN(394084/F1*H1,0)</f>
        <v>395</v>
      </c>
      <c r="O23" s="3" t="s">
        <v>225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</row>
    <row r="24" spans="1:107" x14ac:dyDescent="0.25">
      <c r="A24" s="3" t="s">
        <v>204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</row>
    <row r="25" spans="1:107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</row>
    <row r="26" spans="1:107" x14ac:dyDescent="0.25">
      <c r="A26" s="3" t="s">
        <v>6</v>
      </c>
      <c r="B26" s="3" t="s">
        <v>12</v>
      </c>
      <c r="C26" s="3" t="s">
        <v>12</v>
      </c>
      <c r="D26" s="3">
        <f>ROUNDDOWN((1407754/F1)*H1,0)</f>
        <v>1411</v>
      </c>
      <c r="E26" s="3">
        <v>11</v>
      </c>
      <c r="F26" s="3">
        <v>4</v>
      </c>
      <c r="G26" s="3">
        <v>1</v>
      </c>
      <c r="H26" s="3">
        <f>ROUNDDOWN((137868+74490+6190+4665)/F1*H1,0)</f>
        <v>223</v>
      </c>
      <c r="I26" s="3" t="s">
        <v>15</v>
      </c>
      <c r="J26" s="3" t="s">
        <v>16</v>
      </c>
      <c r="K26" s="3">
        <v>0.61799999999999999</v>
      </c>
      <c r="L26" s="3">
        <v>0.33400000000000002</v>
      </c>
      <c r="M26" s="3">
        <v>2</v>
      </c>
      <c r="N26" s="3">
        <f>ROUNDDOWN((216078+155780+10815)/F1*H1,0)</f>
        <v>383</v>
      </c>
      <c r="O26" s="3" t="s">
        <v>17</v>
      </c>
      <c r="P26" s="3" t="s">
        <v>18</v>
      </c>
      <c r="Q26" s="3">
        <v>0.40699999999999997</v>
      </c>
      <c r="R26" s="3">
        <v>0.56499999999999995</v>
      </c>
      <c r="S26" s="3">
        <v>3</v>
      </c>
      <c r="T26" s="3">
        <f>ROUNDDOWN((203421+190975+12315+10541)/F1*H1,0)</f>
        <v>418</v>
      </c>
      <c r="U26" s="3" t="s">
        <v>19</v>
      </c>
      <c r="V26" s="3" t="s">
        <v>20</v>
      </c>
      <c r="W26" s="3">
        <v>0.48799999999999999</v>
      </c>
      <c r="X26" s="3">
        <v>0.45800000000000002</v>
      </c>
      <c r="Y26" s="3">
        <v>4</v>
      </c>
      <c r="Z26" s="3">
        <f>D26-(T26+H26+N26)</f>
        <v>387</v>
      </c>
      <c r="AA26" s="3" t="s">
        <v>21</v>
      </c>
      <c r="AB26" s="3" t="s">
        <v>22</v>
      </c>
      <c r="AC26" s="3">
        <v>0.50700000000000001</v>
      </c>
      <c r="AD26" s="3">
        <v>0.45800000000000002</v>
      </c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</row>
    <row r="27" spans="1:107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</row>
    <row r="28" spans="1:107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</row>
    <row r="29" spans="1:10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</row>
    <row r="30" spans="1:10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</row>
    <row r="31" spans="1:10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</row>
    <row r="32" spans="1:10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</row>
    <row r="33" spans="1:10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</row>
    <row r="34" spans="1:10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</row>
    <row r="35" spans="1:107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</row>
    <row r="36" spans="1:10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</row>
    <row r="37" spans="1:10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</row>
    <row r="38" spans="1:107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</row>
    <row r="39" spans="1:10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</row>
    <row r="40" spans="1:10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</row>
    <row r="41" spans="1:10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2020-11-28T01:54:52Z</dcterms:created>
  <dcterms:modified xsi:type="dcterms:W3CDTF">2020-12-05T01:01:49Z</dcterms:modified>
</cp:coreProperties>
</file>