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539\DataStructuresProject3\"/>
    </mc:Choice>
  </mc:AlternateContent>
  <xr:revisionPtr revIDLastSave="0" documentId="13_ncr:1_{642938FA-B081-46A6-93D1-D086A7B7927F}" xr6:coauthVersionLast="45" xr6:coauthVersionMax="45" xr10:uidLastSave="{00000000-0000-0000-0000-000000000000}"/>
  <bookViews>
    <workbookView xWindow="-108" yWindow="-108" windowWidth="23256" windowHeight="12576" xr2:uid="{B576BF06-D8E7-4931-8545-D57E9AAA9B9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H34" i="1" l="1"/>
  <c r="FB34" i="1"/>
  <c r="EV34" i="1"/>
  <c r="EP34" i="1"/>
  <c r="EJ34" i="1"/>
  <c r="ED34" i="1"/>
  <c r="DX34" i="1"/>
  <c r="DR34" i="1"/>
  <c r="DL34" i="1"/>
  <c r="DF34" i="1"/>
  <c r="CZ34" i="1"/>
  <c r="CT34" i="1"/>
  <c r="CN34" i="1"/>
  <c r="CH34" i="1"/>
  <c r="CB34" i="1"/>
  <c r="BV34" i="1"/>
  <c r="BP34" i="1"/>
  <c r="BJ34" i="1"/>
  <c r="BD34" i="1"/>
  <c r="AX34" i="1"/>
  <c r="AR34" i="1"/>
  <c r="AL34" i="1"/>
  <c r="AF34" i="1"/>
  <c r="Z34" i="1"/>
  <c r="FZ7" i="1"/>
  <c r="BD7" i="1"/>
  <c r="AX7" i="1"/>
  <c r="N7" i="1"/>
  <c r="T7" i="1"/>
  <c r="AL7" i="1"/>
  <c r="AR7" i="1"/>
  <c r="HJ45" i="1"/>
  <c r="HD45" i="1"/>
  <c r="GX45" i="1"/>
  <c r="GR45" i="1"/>
  <c r="GL45" i="1"/>
  <c r="GF45" i="1"/>
  <c r="FZ45" i="1"/>
  <c r="FT45" i="1"/>
  <c r="FN45" i="1"/>
  <c r="FH45" i="1"/>
  <c r="FB45" i="1"/>
  <c r="EV45" i="1"/>
  <c r="EP45" i="1"/>
  <c r="EJ45" i="1"/>
  <c r="ED45" i="1"/>
  <c r="DX45" i="1"/>
  <c r="DR45" i="1"/>
  <c r="DL45" i="1"/>
  <c r="DF45" i="1"/>
  <c r="CZ45" i="1"/>
  <c r="CT45" i="1"/>
  <c r="CN45" i="1"/>
  <c r="CH45" i="1"/>
  <c r="CB45" i="1"/>
  <c r="BV45" i="1"/>
  <c r="BP45" i="1"/>
  <c r="BJ45" i="1"/>
  <c r="BD45" i="1"/>
  <c r="AX45" i="1"/>
  <c r="AR45" i="1"/>
  <c r="AL45" i="1"/>
  <c r="AF45" i="1"/>
  <c r="Z45" i="1"/>
  <c r="T45" i="1"/>
  <c r="N45" i="1"/>
  <c r="H45" i="1"/>
  <c r="D45" i="1"/>
  <c r="DF15" i="1"/>
  <c r="CZ15" i="1"/>
  <c r="CT15" i="1"/>
  <c r="CN15" i="1"/>
  <c r="CH15" i="1"/>
  <c r="CB15" i="1"/>
  <c r="BV15" i="1"/>
  <c r="BP15" i="1"/>
  <c r="BJ15" i="1"/>
  <c r="BD15" i="1"/>
  <c r="AX15" i="1"/>
  <c r="LH7" i="1"/>
  <c r="LB7" i="1"/>
  <c r="AR15" i="1"/>
  <c r="KV7" i="1"/>
  <c r="KP7" i="1"/>
  <c r="AL15" i="1"/>
  <c r="AF15" i="1"/>
  <c r="KJ7" i="1"/>
  <c r="Z15" i="1"/>
  <c r="T15" i="1"/>
  <c r="N15" i="1"/>
  <c r="KD7" i="1"/>
  <c r="JX7" i="1"/>
  <c r="H15" i="1"/>
  <c r="JR7" i="1"/>
  <c r="JL7" i="1"/>
  <c r="CH37" i="1"/>
  <c r="JF7" i="1"/>
  <c r="CB37" i="1"/>
  <c r="IZ7" i="1"/>
  <c r="BV37" i="1"/>
  <c r="IT7" i="1"/>
  <c r="BP37" i="1"/>
  <c r="BJ37" i="1"/>
  <c r="BD37" i="1"/>
  <c r="AX37" i="1"/>
  <c r="AR37" i="1"/>
  <c r="AL37" i="1"/>
  <c r="AF37" i="1"/>
  <c r="Z37" i="1"/>
  <c r="T37" i="1"/>
  <c r="IN7" i="1"/>
  <c r="IH7" i="1"/>
  <c r="IB7" i="1"/>
  <c r="HV7" i="1"/>
  <c r="N37" i="1"/>
  <c r="H37" i="1"/>
  <c r="D37" i="1"/>
  <c r="AX51" i="1"/>
  <c r="AR51" i="1"/>
  <c r="AL51" i="1"/>
  <c r="AF51" i="1"/>
  <c r="HP7" i="1"/>
  <c r="Z51" i="1"/>
  <c r="T51" i="1"/>
  <c r="HJ7" i="1"/>
  <c r="HD7" i="1"/>
  <c r="GX7" i="1"/>
  <c r="N51" i="1"/>
  <c r="H51" i="1"/>
  <c r="D51" i="1"/>
  <c r="GR7" i="1"/>
  <c r="BP48" i="1"/>
  <c r="BJ48" i="1"/>
  <c r="GL7" i="1"/>
  <c r="BD48" i="1"/>
  <c r="GF7" i="1"/>
  <c r="AX48" i="1"/>
  <c r="AR48" i="1"/>
  <c r="AL48" i="1"/>
  <c r="AF48" i="1"/>
  <c r="FT7" i="1"/>
  <c r="Z48" i="1"/>
  <c r="T48" i="1"/>
  <c r="N48" i="1"/>
  <c r="FN7" i="1"/>
  <c r="H48" i="1"/>
  <c r="D48" i="1"/>
  <c r="FH7" i="1"/>
  <c r="DF40" i="1"/>
  <c r="FB7" i="1"/>
  <c r="CZ40" i="1"/>
  <c r="CT40" i="1"/>
  <c r="CN40" i="1"/>
  <c r="CH40" i="1"/>
  <c r="CB40" i="1"/>
  <c r="BV40" i="1"/>
  <c r="EV7" i="1"/>
  <c r="BP40" i="1"/>
  <c r="BJ40" i="1"/>
  <c r="BD40" i="1"/>
  <c r="AX40" i="1"/>
  <c r="AR40" i="1"/>
  <c r="AL40" i="1"/>
  <c r="AF40" i="1"/>
  <c r="Z40" i="1"/>
  <c r="EP7" i="1"/>
  <c r="EJ7" i="1"/>
  <c r="T40" i="1" l="1"/>
  <c r="ED7" i="1"/>
  <c r="N40" i="1"/>
  <c r="H40" i="1"/>
  <c r="D40" i="1"/>
  <c r="DX7" i="1"/>
  <c r="FH11" i="1"/>
  <c r="DR7" i="1"/>
  <c r="FB11" i="1"/>
  <c r="DL7" i="1"/>
  <c r="EP11" i="1"/>
  <c r="DF7" i="1"/>
  <c r="CZ7" i="1"/>
  <c r="EJ11" i="1"/>
  <c r="CT7" i="1"/>
  <c r="ED11" i="1"/>
  <c r="DX11" i="1"/>
  <c r="CN7" i="1"/>
  <c r="DR11" i="1"/>
  <c r="CH7" i="1"/>
  <c r="DL11" i="1"/>
  <c r="CB7" i="1"/>
  <c r="DF11" i="1"/>
  <c r="BV7" i="1"/>
  <c r="BP7" i="1"/>
  <c r="CZ11" i="1"/>
  <c r="CT11" i="1"/>
  <c r="CN11" i="1"/>
  <c r="BJ7" i="1"/>
  <c r="CH11" i="1"/>
  <c r="CB11" i="1"/>
  <c r="BV11" i="1"/>
  <c r="BP11" i="1"/>
  <c r="BJ11" i="1"/>
  <c r="AF7" i="1"/>
  <c r="BD11" i="1"/>
  <c r="Z7" i="1"/>
  <c r="AX11" i="1"/>
  <c r="AR11" i="1"/>
  <c r="H7" i="1"/>
  <c r="AL11" i="1"/>
  <c r="AF11" i="1"/>
  <c r="H4" i="1"/>
  <c r="Z11" i="1"/>
  <c r="T11" i="1"/>
  <c r="N11" i="1"/>
  <c r="H11" i="1"/>
  <c r="D11" i="1"/>
  <c r="D15" i="1"/>
  <c r="CB35" i="1"/>
  <c r="BV35" i="1"/>
  <c r="BP35" i="1"/>
  <c r="BJ35" i="1"/>
  <c r="BD35" i="1"/>
  <c r="AX35" i="1"/>
  <c r="AR35" i="1"/>
  <c r="AL35" i="1"/>
  <c r="AF35" i="1"/>
  <c r="Z35" i="1"/>
  <c r="T35" i="1"/>
  <c r="N35" i="1"/>
  <c r="H35" i="1"/>
  <c r="D35" i="1"/>
  <c r="CH12" i="1"/>
  <c r="CB12" i="1"/>
  <c r="BV12" i="1"/>
  <c r="BP12" i="1"/>
  <c r="BJ12" i="1"/>
  <c r="BD12" i="1"/>
  <c r="AX12" i="1"/>
  <c r="AR12" i="1"/>
  <c r="AL12" i="1"/>
  <c r="AF12" i="1"/>
  <c r="Z12" i="1"/>
  <c r="T12" i="1"/>
  <c r="N12" i="1"/>
  <c r="H12" i="1"/>
  <c r="D12" i="1"/>
  <c r="BJ49" i="1"/>
  <c r="BD49" i="1"/>
  <c r="AX49" i="1"/>
  <c r="AR49" i="1"/>
  <c r="AL49" i="1"/>
  <c r="AF49" i="1"/>
  <c r="AF44" i="1"/>
  <c r="Z49" i="1"/>
  <c r="T49" i="1"/>
  <c r="N49" i="1"/>
  <c r="H49" i="1"/>
  <c r="D49" i="1"/>
  <c r="H52" i="1"/>
  <c r="D52" i="1"/>
  <c r="T50" i="1"/>
  <c r="N50" i="1"/>
  <c r="H50" i="1"/>
  <c r="D50" i="1"/>
  <c r="D47" i="1"/>
  <c r="H47" i="1"/>
  <c r="Z46" i="1"/>
  <c r="T46" i="1"/>
  <c r="N46" i="1"/>
  <c r="H46" i="1"/>
  <c r="D46" i="1"/>
  <c r="BD44" i="1"/>
  <c r="AX44" i="1"/>
  <c r="AR44" i="1"/>
  <c r="AL44" i="1"/>
  <c r="Z44" i="1"/>
  <c r="T44" i="1"/>
  <c r="N44" i="1"/>
  <c r="H44" i="1"/>
  <c r="D44" i="1"/>
  <c r="H43" i="1"/>
  <c r="D43" i="1"/>
  <c r="AR42" i="1"/>
  <c r="AL42" i="1"/>
  <c r="AF42" i="1"/>
  <c r="Z42" i="1"/>
  <c r="T42" i="1"/>
  <c r="N42" i="1"/>
  <c r="H42" i="1"/>
  <c r="D42" i="1"/>
  <c r="N41" i="1"/>
  <c r="H41" i="1"/>
  <c r="D41" i="1"/>
  <c r="AF39" i="1"/>
  <c r="Z39" i="1"/>
  <c r="T39" i="1"/>
  <c r="N39" i="1"/>
  <c r="H39" i="1"/>
  <c r="D39" i="1"/>
  <c r="AF38" i="1"/>
  <c r="Z38" i="1"/>
  <c r="T38" i="1"/>
  <c r="N38" i="1"/>
  <c r="H38" i="1"/>
  <c r="D38" i="1"/>
  <c r="H36" i="1"/>
  <c r="D36" i="1"/>
  <c r="T33" i="1"/>
  <c r="N33" i="1"/>
  <c r="H33" i="1"/>
  <c r="D33" i="1"/>
  <c r="T34" i="1"/>
  <c r="N34" i="1"/>
  <c r="H34" i="1"/>
  <c r="D34" i="1"/>
  <c r="BV32" i="1"/>
  <c r="BP32" i="1"/>
  <c r="BJ32" i="1"/>
  <c r="BD32" i="1"/>
  <c r="AX32" i="1"/>
  <c r="AR32" i="1"/>
  <c r="AL32" i="1"/>
  <c r="AF32" i="1"/>
  <c r="Z32" i="1"/>
  <c r="T32" i="1"/>
  <c r="N32" i="1"/>
  <c r="H32" i="1"/>
  <c r="D32" i="1"/>
  <c r="N31" i="1"/>
  <c r="H31" i="1" l="1"/>
  <c r="D31" i="1"/>
  <c r="T29" i="1"/>
  <c r="N29" i="1"/>
  <c r="H29" i="1"/>
  <c r="D29" i="1"/>
  <c r="H28" i="1"/>
  <c r="D28" i="1"/>
  <c r="AX27" i="1"/>
  <c r="AR27" i="1"/>
  <c r="AL27" i="1"/>
  <c r="AF27" i="1"/>
  <c r="Z27" i="1"/>
  <c r="T27" i="1"/>
  <c r="N27" i="1"/>
  <c r="H27" i="1"/>
  <c r="D27" i="1"/>
  <c r="Z26" i="1"/>
  <c r="T26" i="1"/>
  <c r="N26" i="1"/>
  <c r="H26" i="1"/>
  <c r="D26" i="1"/>
  <c r="AX25" i="1"/>
  <c r="AR25" i="1"/>
  <c r="AL25" i="1"/>
  <c r="AF25" i="1"/>
  <c r="Z25" i="1"/>
  <c r="T25" i="1"/>
  <c r="N25" i="1"/>
  <c r="H25" i="1"/>
  <c r="D25" i="1"/>
  <c r="CH24" i="1"/>
  <c r="CB24" i="1"/>
  <c r="BV24" i="1"/>
  <c r="BP24" i="1"/>
  <c r="BJ24" i="1"/>
  <c r="BD24" i="1"/>
  <c r="AX24" i="1"/>
  <c r="AR24" i="1"/>
  <c r="AL24" i="1"/>
  <c r="AF24" i="1"/>
  <c r="Z24" i="1"/>
  <c r="T24" i="1"/>
  <c r="N24" i="1"/>
  <c r="H24" i="1"/>
  <c r="D24" i="1"/>
  <c r="BD23" i="1"/>
  <c r="AX23" i="1"/>
  <c r="AR23" i="1"/>
  <c r="AL23" i="1"/>
  <c r="AF23" i="1"/>
  <c r="Z23" i="1"/>
  <c r="T23" i="1"/>
  <c r="N23" i="1" l="1"/>
  <c r="H23" i="1"/>
  <c r="D23" i="1"/>
  <c r="AX22" i="1"/>
  <c r="AR22" i="1"/>
  <c r="AL22" i="1"/>
  <c r="AF22" i="1"/>
  <c r="Z22" i="1"/>
  <c r="T22" i="1"/>
  <c r="N22" i="1"/>
  <c r="H22" i="1"/>
  <c r="D22" i="1"/>
  <c r="N21" i="1"/>
  <c r="H21" i="1"/>
  <c r="D21" i="1" l="1"/>
  <c r="AL20" i="1"/>
  <c r="AF20" i="1"/>
  <c r="Z20" i="1"/>
  <c r="T20" i="1"/>
  <c r="N20" i="1"/>
  <c r="H20" i="1"/>
  <c r="D20" i="1"/>
  <c r="AL19" i="1"/>
  <c r="AF19" i="1"/>
  <c r="Z19" i="1"/>
  <c r="T19" i="1"/>
  <c r="N19" i="1"/>
  <c r="H19" i="1"/>
  <c r="D19" i="1"/>
  <c r="Z18" i="1"/>
  <c r="T18" i="1"/>
  <c r="N18" i="1"/>
  <c r="H18" i="1"/>
  <c r="D18" i="1"/>
  <c r="Z17" i="1"/>
  <c r="T17" i="1"/>
  <c r="N17" i="1"/>
  <c r="H17" i="1"/>
  <c r="D17" i="1"/>
  <c r="BD16" i="1"/>
  <c r="AX16" i="1"/>
  <c r="AR16" i="1"/>
  <c r="AL16" i="1"/>
  <c r="AF16" i="1"/>
  <c r="Z16" i="1"/>
  <c r="T16" i="1"/>
  <c r="N16" i="1"/>
  <c r="H16" i="1"/>
  <c r="D16" i="1"/>
  <c r="N13" i="1"/>
  <c r="H13" i="1"/>
  <c r="D13" i="1"/>
  <c r="H10" i="1"/>
  <c r="D10" i="1"/>
  <c r="AF9" i="1"/>
  <c r="Z9" i="1"/>
  <c r="T9" i="1"/>
  <c r="N9" i="1"/>
  <c r="H9" i="1"/>
  <c r="D9" i="1"/>
  <c r="AR8" i="1"/>
  <c r="AL8" i="1"/>
  <c r="AF8" i="1"/>
  <c r="Z8" i="1"/>
  <c r="T8" i="1"/>
  <c r="N8" i="1"/>
  <c r="H8" i="1"/>
  <c r="D8" i="1"/>
  <c r="D7" i="1"/>
  <c r="Z6" i="1"/>
  <c r="N6" i="1"/>
  <c r="H6" i="1"/>
  <c r="D6" i="1"/>
  <c r="BD5" i="1"/>
  <c r="AX5" i="1"/>
  <c r="AR5" i="1"/>
  <c r="AL5" i="1"/>
  <c r="AF5" i="1"/>
  <c r="Z5" i="1"/>
  <c r="T5" i="1"/>
  <c r="N5" i="1"/>
  <c r="H5" i="1"/>
  <c r="D5" i="1"/>
  <c r="D4" i="1"/>
  <c r="AR3" i="1"/>
  <c r="AL3" i="1"/>
  <c r="AF3" i="1"/>
  <c r="Z3" i="1"/>
  <c r="T3" i="1"/>
  <c r="N3" i="1"/>
  <c r="H3" i="1"/>
  <c r="D3" i="1"/>
  <c r="N14" i="1" l="1"/>
  <c r="H14" i="1"/>
  <c r="D14" i="1"/>
  <c r="D30" i="1"/>
  <c r="T30" i="1" l="1"/>
  <c r="N30" i="1"/>
  <c r="H30" i="1"/>
  <c r="Z30" i="1" l="1"/>
</calcChain>
</file>

<file path=xl/sharedStrings.xml><?xml version="1.0" encoding="utf-8"?>
<sst xmlns="http://schemas.openxmlformats.org/spreadsheetml/2006/main" count="1344" uniqueCount="986">
  <si>
    <t>Info:</t>
  </si>
  <si>
    <t>True Turnout</t>
  </si>
  <si>
    <t>Number of voters used</t>
  </si>
  <si>
    <t>State</t>
  </si>
  <si>
    <t>Dem Senator</t>
  </si>
  <si>
    <t>Rep Senator</t>
  </si>
  <si>
    <t>Number of Voters</t>
  </si>
  <si>
    <t>Electoral Votes</t>
  </si>
  <si>
    <t>Number of Districts</t>
  </si>
  <si>
    <t>District Number</t>
  </si>
  <si>
    <t>Dem Rep</t>
  </si>
  <si>
    <t>Rep Rep</t>
  </si>
  <si>
    <t>% DEM</t>
  </si>
  <si>
    <t>% REP</t>
  </si>
  <si>
    <t>Alabama</t>
  </si>
  <si>
    <t>Doug Jones</t>
  </si>
  <si>
    <t>Tommy Tuberville</t>
  </si>
  <si>
    <t>James Averhart</t>
  </si>
  <si>
    <t>Jerry Carl</t>
  </si>
  <si>
    <t>Phyllis Harvey-Hall</t>
  </si>
  <si>
    <t>Barry Moore</t>
  </si>
  <si>
    <t>Adia Winfrey</t>
  </si>
  <si>
    <t>Mike Rogers</t>
  </si>
  <si>
    <t>Rick Neighbors</t>
  </si>
  <si>
    <t>Robert Aderholt</t>
  </si>
  <si>
    <t>NONE</t>
  </si>
  <si>
    <t>Mo Brooks</t>
  </si>
  <si>
    <t>Gary Palmer</t>
  </si>
  <si>
    <t>Terri A. Sewell</t>
  </si>
  <si>
    <t>Alaska</t>
  </si>
  <si>
    <t>Al Gross</t>
  </si>
  <si>
    <t>Dan Sullivan</t>
  </si>
  <si>
    <t>Alyse S. Galvin</t>
  </si>
  <si>
    <t>Din Young</t>
  </si>
  <si>
    <t>Arizona</t>
  </si>
  <si>
    <t>Mark Kelley</t>
  </si>
  <si>
    <t>Martha McSally</t>
  </si>
  <si>
    <t>Tom O'Halleran</t>
  </si>
  <si>
    <t>Tiffany Shedd</t>
  </si>
  <si>
    <t>Ann Kirkpatrick</t>
  </si>
  <si>
    <t>Brandon Martin</t>
  </si>
  <si>
    <t>Raul Grijalva</t>
  </si>
  <si>
    <t>Daniel Wood</t>
  </si>
  <si>
    <t>Delina DiSanto</t>
  </si>
  <si>
    <t>Paul Gosar</t>
  </si>
  <si>
    <t>Joan Greene</t>
  </si>
  <si>
    <t>Andy Biggs</t>
  </si>
  <si>
    <t>Hiral Tipirneni</t>
  </si>
  <si>
    <t>David Schweikert</t>
  </si>
  <si>
    <t>Ruben Gallego</t>
  </si>
  <si>
    <t>Joshua Barnett</t>
  </si>
  <si>
    <t>Michael Muscato</t>
  </si>
  <si>
    <t>Debbie Lesko</t>
  </si>
  <si>
    <t>Greg Stanton</t>
  </si>
  <si>
    <t>Dave Giles</t>
  </si>
  <si>
    <t>Arkansas</t>
  </si>
  <si>
    <t>Ricky Dale Harrington Jr.</t>
  </si>
  <si>
    <t>Tom Crawford</t>
  </si>
  <si>
    <t>Rick Crawford</t>
  </si>
  <si>
    <t>Joyce Elliot</t>
  </si>
  <si>
    <t>French Hill</t>
  </si>
  <si>
    <t>Celeste Williams</t>
  </si>
  <si>
    <t>Steve Womack</t>
  </si>
  <si>
    <t>William H. Hanson</t>
  </si>
  <si>
    <t>Bruce Westerman</t>
  </si>
  <si>
    <t>California</t>
  </si>
  <si>
    <t>Audrey Denney</t>
  </si>
  <si>
    <t>Doug LaMalfa</t>
  </si>
  <si>
    <t>Jared Huffman</t>
  </si>
  <si>
    <t>Dale Mensing</t>
  </si>
  <si>
    <t>John Garamendi</t>
  </si>
  <si>
    <t>Tamika Hamilton</t>
  </si>
  <si>
    <t>Brynne Kenedy</t>
  </si>
  <si>
    <t>Tom McClintock</t>
  </si>
  <si>
    <t>Mike Thompson</t>
  </si>
  <si>
    <t>Scott Giblin</t>
  </si>
  <si>
    <t>Doris Matsui</t>
  </si>
  <si>
    <t>Chris Bish</t>
  </si>
  <si>
    <t>Ami Bera</t>
  </si>
  <si>
    <t>Buzz Patterson</t>
  </si>
  <si>
    <t>Christine Bubser</t>
  </si>
  <si>
    <t>Jay Obernolte</t>
  </si>
  <si>
    <t>Jerry McNerney</t>
  </si>
  <si>
    <t>Tom Ambador</t>
  </si>
  <si>
    <t>Josh Harder</t>
  </si>
  <si>
    <t>Ted Howze</t>
  </si>
  <si>
    <t>Mark DeSaulnier</t>
  </si>
  <si>
    <t>Nisha Sharma</t>
  </si>
  <si>
    <t>Nancy Pelosi</t>
  </si>
  <si>
    <t>Shahid Buttar</t>
  </si>
  <si>
    <t>Barbara Lee</t>
  </si>
  <si>
    <t>Nikka Piterman</t>
  </si>
  <si>
    <t>Jackie Speier</t>
  </si>
  <si>
    <t>Ran Petel</t>
  </si>
  <si>
    <t>Eric Swalwell</t>
  </si>
  <si>
    <t>Alison Hayden</t>
  </si>
  <si>
    <t>Jim Costa</t>
  </si>
  <si>
    <t>Kevin Cookingham</t>
  </si>
  <si>
    <t>Ro Khanna</t>
  </si>
  <si>
    <t>Ritesh Tandon</t>
  </si>
  <si>
    <t>Ana Eshoo</t>
  </si>
  <si>
    <t>Rishi Kumar</t>
  </si>
  <si>
    <t>Zoe Lofgren</t>
  </si>
  <si>
    <t>Justin Aguilera</t>
  </si>
  <si>
    <t>Jimmy Panetta</t>
  </si>
  <si>
    <t>Jeff Gorman</t>
  </si>
  <si>
    <t>TJ Cox</t>
  </si>
  <si>
    <t>David Valadao</t>
  </si>
  <si>
    <t>Phil Arballo</t>
  </si>
  <si>
    <t>Devin Nunes</t>
  </si>
  <si>
    <t>Kim Mangone</t>
  </si>
  <si>
    <t>Kevin McCarthy</t>
  </si>
  <si>
    <t>Salud Carbajal</t>
  </si>
  <si>
    <t>Andy Cadwell</t>
  </si>
  <si>
    <t>Chisty Smith</t>
  </si>
  <si>
    <t>Mike Garcia</t>
  </si>
  <si>
    <t>Julia Brownley</t>
  </si>
  <si>
    <t>Ronda Baldwin-Kennedy</t>
  </si>
  <si>
    <t>Judy Chu</t>
  </si>
  <si>
    <t>Johnny Nalbandian</t>
  </si>
  <si>
    <t>Adam Schiff</t>
  </si>
  <si>
    <t>Eric Early</t>
  </si>
  <si>
    <t>Tony Cardenas</t>
  </si>
  <si>
    <t>Angelica Duenas</t>
  </si>
  <si>
    <t>Brad Sherman</t>
  </si>
  <si>
    <t>Mark Reed</t>
  </si>
  <si>
    <t>Pete Aguilar</t>
  </si>
  <si>
    <t>Agnes Gibboney</t>
  </si>
  <si>
    <t>Grace Napolitano</t>
  </si>
  <si>
    <t>Joshua Scott</t>
  </si>
  <si>
    <t>Ted Lieu</t>
  </si>
  <si>
    <t>James Bradley</t>
  </si>
  <si>
    <t>Jimmy Gomez</t>
  </si>
  <si>
    <t>Norma Torres</t>
  </si>
  <si>
    <t>Mike Cargile</t>
  </si>
  <si>
    <t>Raaul Ruiz</t>
  </si>
  <si>
    <t>Erin Cruz</t>
  </si>
  <si>
    <t>Karen Bass</t>
  </si>
  <si>
    <t>Erol Webber</t>
  </si>
  <si>
    <t>Linda Sanchez</t>
  </si>
  <si>
    <t>Michael Tolar</t>
  </si>
  <si>
    <t>Gil Cinseros</t>
  </si>
  <si>
    <t>Young Kim</t>
  </si>
  <si>
    <t>Lucille Roybal-Allard</t>
  </si>
  <si>
    <t>C Antonio Delegado</t>
  </si>
  <si>
    <t>Mark Takano</t>
  </si>
  <si>
    <t>Aja Smith</t>
  </si>
  <si>
    <t>William O'Mara</t>
  </si>
  <si>
    <t>Ken Calvert</t>
  </si>
  <si>
    <t>Maxine Waters</t>
  </si>
  <si>
    <t>Joe Collins</t>
  </si>
  <si>
    <t>Nanette Barragan</t>
  </si>
  <si>
    <t>Analilia Joya</t>
  </si>
  <si>
    <t>Katie Porter</t>
  </si>
  <si>
    <t>Greg Raths</t>
  </si>
  <si>
    <t>Lou Correa</t>
  </si>
  <si>
    <t>James Waters</t>
  </si>
  <si>
    <t>Alan Lowenthal</t>
  </si>
  <si>
    <t>John Briscoe</t>
  </si>
  <si>
    <t>Harley Rouda</t>
  </si>
  <si>
    <t>Michelle Steel</t>
  </si>
  <si>
    <t>Mike Levin</t>
  </si>
  <si>
    <t>Brian Maryott</t>
  </si>
  <si>
    <t>Darrell Isa</t>
  </si>
  <si>
    <t>Ammar Campa-Majjar</t>
  </si>
  <si>
    <t>Juan Vargas</t>
  </si>
  <si>
    <t>Juan Hialgo</t>
  </si>
  <si>
    <t>Scott Peters</t>
  </si>
  <si>
    <t>Jim DaBello</t>
  </si>
  <si>
    <t>Sara Jacobs</t>
  </si>
  <si>
    <t>Georgette Gomez</t>
  </si>
  <si>
    <t>Colorado</t>
  </si>
  <si>
    <t>John W. Hickenlooper</t>
  </si>
  <si>
    <t>Cory Gardner</t>
  </si>
  <si>
    <t>Diana DeGette</t>
  </si>
  <si>
    <t>Shane Bolling</t>
  </si>
  <si>
    <t>Joe Neguse</t>
  </si>
  <si>
    <t>Charline Winn</t>
  </si>
  <si>
    <t>Diane E. Mitsch Bush</t>
  </si>
  <si>
    <t>Lauren Boebert</t>
  </si>
  <si>
    <t>Ike McCorkle</t>
  </si>
  <si>
    <t>Ken Buck</t>
  </si>
  <si>
    <t>Jillian Freelan</t>
  </si>
  <si>
    <t>Doug Lamborn</t>
  </si>
  <si>
    <t>Jason Crow</t>
  </si>
  <si>
    <t>Steve House</t>
  </si>
  <si>
    <t>Ed Perlmutter</t>
  </si>
  <si>
    <t>Charles Stockham</t>
  </si>
  <si>
    <t>Connecticut</t>
  </si>
  <si>
    <t>John B. Larson</t>
  </si>
  <si>
    <t>Mary Fay</t>
  </si>
  <si>
    <t>Joe Courtney</t>
  </si>
  <si>
    <t>Justin Anderson</t>
  </si>
  <si>
    <t>Rosa L. DeLauro</t>
  </si>
  <si>
    <t>Margaret Streicker</t>
  </si>
  <si>
    <t>Jim Himes</t>
  </si>
  <si>
    <t>Jonathan Riddle</t>
  </si>
  <si>
    <t>Jahana Hayes</t>
  </si>
  <si>
    <t>David X. Sullivan</t>
  </si>
  <si>
    <t>Delaware</t>
  </si>
  <si>
    <t>Christopher A. Coons</t>
  </si>
  <si>
    <t>Lauren Witzke</t>
  </si>
  <si>
    <t>Lisa Blunt Rochester</t>
  </si>
  <si>
    <t>Lee Murphy</t>
  </si>
  <si>
    <t>Florida</t>
  </si>
  <si>
    <t>Phil Her</t>
  </si>
  <si>
    <t>Matt Gaetz</t>
  </si>
  <si>
    <t>Neal Dunn</t>
  </si>
  <si>
    <t>Adam Christensen</t>
  </si>
  <si>
    <t>Kat Cammack</t>
  </si>
  <si>
    <t>Donna Deegan</t>
  </si>
  <si>
    <t>John H. Rutherford</t>
  </si>
  <si>
    <t>Al Lawson</t>
  </si>
  <si>
    <t>Gary Adler</t>
  </si>
  <si>
    <t>Clint Curtis</t>
  </si>
  <si>
    <t>Michael Waltz</t>
  </si>
  <si>
    <t>Stephanie Murphy</t>
  </si>
  <si>
    <t>Leo Valentin</t>
  </si>
  <si>
    <t>Jim Kennedy</t>
  </si>
  <si>
    <t>Bill Posey</t>
  </si>
  <si>
    <t>Darren Soto</t>
  </si>
  <si>
    <t>William Olson</t>
  </si>
  <si>
    <t>Val Demings</t>
  </si>
  <si>
    <t>Vennia Francois</t>
  </si>
  <si>
    <t>Dana Cottrell</t>
  </si>
  <si>
    <t>Daniel Webster</t>
  </si>
  <si>
    <t>Kimberly Walker</t>
  </si>
  <si>
    <t>Gus Bilirakis</t>
  </si>
  <si>
    <t>Charlie Crist</t>
  </si>
  <si>
    <t>Anna Luna</t>
  </si>
  <si>
    <t>Alan Cohn</t>
  </si>
  <si>
    <t>Scott Franklin</t>
  </si>
  <si>
    <t>Kathy Castor</t>
  </si>
  <si>
    <t>Christine Quinn</t>
  </si>
  <si>
    <t>Margaret Good</t>
  </si>
  <si>
    <t>Vern Buchanan</t>
  </si>
  <si>
    <t>Allen Ellison</t>
  </si>
  <si>
    <t>Greg Steube</t>
  </si>
  <si>
    <t>Pam Keith</t>
  </si>
  <si>
    <t>Brian Mast</t>
  </si>
  <si>
    <t>Cindy Banyai</t>
  </si>
  <si>
    <t>Bryon Donalds</t>
  </si>
  <si>
    <t>Alcee Hastings</t>
  </si>
  <si>
    <t>Greg Musselwhite</t>
  </si>
  <si>
    <t>Lois Frankel</t>
  </si>
  <si>
    <t>Laura Loomer</t>
  </si>
  <si>
    <t>Ted Deutch</t>
  </si>
  <si>
    <t>James Pruden</t>
  </si>
  <si>
    <t>Debbie Wasserman Schultz</t>
  </si>
  <si>
    <t>Carla Spalding</t>
  </si>
  <si>
    <t>Frederica Wilson</t>
  </si>
  <si>
    <t>Lavern Spicer</t>
  </si>
  <si>
    <t>Mario-Balart</t>
  </si>
  <si>
    <t>Debbie Mucarsel-Powel</t>
  </si>
  <si>
    <t>Carlos Gimenez</t>
  </si>
  <si>
    <t>Donna Shalala</t>
  </si>
  <si>
    <t>Maria Elvira Salazar</t>
  </si>
  <si>
    <t>Georgia</t>
  </si>
  <si>
    <t xml:space="preserve">Jon Ossoff </t>
  </si>
  <si>
    <t>David Perdue</t>
  </si>
  <si>
    <t>Joyce Griggs</t>
  </si>
  <si>
    <t>Buddy Carter</t>
  </si>
  <si>
    <t>Sanford Bishop</t>
  </si>
  <si>
    <t>Ron Cole</t>
  </si>
  <si>
    <t>Val Almonord</t>
  </si>
  <si>
    <t>Drew Ferguson</t>
  </si>
  <si>
    <t>Hank Johnson</t>
  </si>
  <si>
    <t>Johsie Ezammudeen</t>
  </si>
  <si>
    <t>Nikema Williams</t>
  </si>
  <si>
    <t>Angela Stanton-King</t>
  </si>
  <si>
    <t>Lucy McBath</t>
  </si>
  <si>
    <t>Karen Handel</t>
  </si>
  <si>
    <t>Carolyn Bourdeaux</t>
  </si>
  <si>
    <t>Rich McCormick</t>
  </si>
  <si>
    <t>Lindsay Holliday</t>
  </si>
  <si>
    <t>Austin Scott</t>
  </si>
  <si>
    <t>Devin Pandy</t>
  </si>
  <si>
    <t>Andrew Clyde</t>
  </si>
  <si>
    <t>Tabitha Johnson-Green</t>
  </si>
  <si>
    <t>Jody Hice</t>
  </si>
  <si>
    <t>Dana Barrett</t>
  </si>
  <si>
    <t>Barry Loudermilk</t>
  </si>
  <si>
    <t>Liz Johnson</t>
  </si>
  <si>
    <t>Rick Allen</t>
  </si>
  <si>
    <t>David Scott</t>
  </si>
  <si>
    <t>Becky Hites</t>
  </si>
  <si>
    <t>Kevin Van Ausdal</t>
  </si>
  <si>
    <t>Marjorie Greene</t>
  </si>
  <si>
    <t>Hawaii</t>
  </si>
  <si>
    <t xml:space="preserve">Ed Case </t>
  </si>
  <si>
    <t>Ron Curtis</t>
  </si>
  <si>
    <t>Kai Kahele</t>
  </si>
  <si>
    <t>Joe Akana</t>
  </si>
  <si>
    <t>Idaho</t>
  </si>
  <si>
    <t>Paulette Jordan</t>
  </si>
  <si>
    <t>Jim Risch</t>
  </si>
  <si>
    <t>Rudy Soto</t>
  </si>
  <si>
    <t>Russ Fulcher</t>
  </si>
  <si>
    <t>C. Aaron Swisher</t>
  </si>
  <si>
    <t>Mike Simpson</t>
  </si>
  <si>
    <t>Illinois</t>
  </si>
  <si>
    <t>Richard Durbin</t>
  </si>
  <si>
    <t>Mark Curran</t>
  </si>
  <si>
    <t>Bobby Rush</t>
  </si>
  <si>
    <t>Philanise White</t>
  </si>
  <si>
    <t>Robin Kelly</t>
  </si>
  <si>
    <t>Theresa Raborn</t>
  </si>
  <si>
    <t>Marie Newman</t>
  </si>
  <si>
    <t>Mike Fricilone</t>
  </si>
  <si>
    <t>Chuy Garcia</t>
  </si>
  <si>
    <t>Jesus Solorio</t>
  </si>
  <si>
    <t>Mike Quigley</t>
  </si>
  <si>
    <t>Tommy Hanson</t>
  </si>
  <si>
    <t xml:space="preserve">Sean Casten </t>
  </si>
  <si>
    <t>Jeanne Ives</t>
  </si>
  <si>
    <t>Danny Davis</t>
  </si>
  <si>
    <t>Craig Cameron</t>
  </si>
  <si>
    <t>Raja Krishnamoorthi</t>
  </si>
  <si>
    <t>Preston Nelson</t>
  </si>
  <si>
    <t>Janice Schakowsky</t>
  </si>
  <si>
    <t>Sargis Sangari</t>
  </si>
  <si>
    <t>Brad Schneider</t>
  </si>
  <si>
    <t>Valerie Ramirez Mukherjee</t>
  </si>
  <si>
    <t>Bill Foster</t>
  </si>
  <si>
    <t>Rick Laib</t>
  </si>
  <si>
    <t>Raymond Lenzi</t>
  </si>
  <si>
    <t>Mike Bost</t>
  </si>
  <si>
    <t>Betsy Dirksen Londrigan</t>
  </si>
  <si>
    <t>Rodney Davis</t>
  </si>
  <si>
    <t>Lauren Underwood</t>
  </si>
  <si>
    <t>Jim Oberweis</t>
  </si>
  <si>
    <t>Erika Weaver</t>
  </si>
  <si>
    <t>Mary Miller</t>
  </si>
  <si>
    <t>Dani Brzozowski</t>
  </si>
  <si>
    <t>Adam Kinzinger</t>
  </si>
  <si>
    <t>Cheri Bustos</t>
  </si>
  <si>
    <t>Esther Joy King</t>
  </si>
  <si>
    <t>Darin LaHood</t>
  </si>
  <si>
    <t>George Petrilli</t>
  </si>
  <si>
    <t>Indiana</t>
  </si>
  <si>
    <t>Frank J. Mrvan</t>
  </si>
  <si>
    <t>Mark Leyva</t>
  </si>
  <si>
    <t>Patricia Hackett</t>
  </si>
  <si>
    <t>Jackie Walorski</t>
  </si>
  <si>
    <t>Chip Coldiron</t>
  </si>
  <si>
    <t>Jim Banks</t>
  </si>
  <si>
    <t>Joe Mackey</t>
  </si>
  <si>
    <t>Jim Baird</t>
  </si>
  <si>
    <t>Christina Hale</t>
  </si>
  <si>
    <t>Victoria Spartz</t>
  </si>
  <si>
    <t>Jeannine Lee Lake</t>
  </si>
  <si>
    <t>Greg Pence</t>
  </si>
  <si>
    <t>Andre Carson</t>
  </si>
  <si>
    <t>Susan Marie Smith</t>
  </si>
  <si>
    <t>E. Thomasina Marsili</t>
  </si>
  <si>
    <t>Larry D. Bucshon</t>
  </si>
  <si>
    <t>Andy Ruff</t>
  </si>
  <si>
    <t>Trey Hollingsworth</t>
  </si>
  <si>
    <t>Iowa</t>
  </si>
  <si>
    <t>Theresa Greenfield</t>
  </si>
  <si>
    <t>Joni Ernst</t>
  </si>
  <si>
    <t>Abby Finkenauer</t>
  </si>
  <si>
    <t xml:space="preserve">Ashley Hinson  </t>
  </si>
  <si>
    <t>Rita R. Hart</t>
  </si>
  <si>
    <t>Mariannette Miller-Meeks</t>
  </si>
  <si>
    <t xml:space="preserve">Cindy Axne </t>
  </si>
  <si>
    <t>David Young</t>
  </si>
  <si>
    <t>J.D. Scholten</t>
  </si>
  <si>
    <t>Randy Feenstra</t>
  </si>
  <si>
    <t xml:space="preserve"> </t>
  </si>
  <si>
    <t>Kansas</t>
  </si>
  <si>
    <t>Barbara Bollier</t>
  </si>
  <si>
    <t>Roger Marshall</t>
  </si>
  <si>
    <t>Kali Barnett</t>
  </si>
  <si>
    <t>Tracey Mann</t>
  </si>
  <si>
    <t>Michelle De La Isla</t>
  </si>
  <si>
    <t>Jake LaTurner</t>
  </si>
  <si>
    <t>Sharice L. Davids</t>
  </si>
  <si>
    <t>Amanda L. Adkins</t>
  </si>
  <si>
    <t>Laura Lombard</t>
  </si>
  <si>
    <t>Ron Estes</t>
  </si>
  <si>
    <t>Kentucky</t>
  </si>
  <si>
    <t>Amy McGrath</t>
  </si>
  <si>
    <t>Mitch McConnell</t>
  </si>
  <si>
    <t>James Rhodes</t>
  </si>
  <si>
    <t>James R. Comer</t>
  </si>
  <si>
    <t>Hank Linderman</t>
  </si>
  <si>
    <t>S. Brett Guthrie</t>
  </si>
  <si>
    <t>John A. Yarmuth</t>
  </si>
  <si>
    <t>Rhonda Palazzo</t>
  </si>
  <si>
    <t>Alexandra Owensby</t>
  </si>
  <si>
    <t>Thomas Massie</t>
  </si>
  <si>
    <t>Matthew Ryan Best</t>
  </si>
  <si>
    <t>Harold Rogers</t>
  </si>
  <si>
    <t xml:space="preserve">Josh Hicks </t>
  </si>
  <si>
    <t>Andy Barr</t>
  </si>
  <si>
    <t>Louisiana</t>
  </si>
  <si>
    <t>Derrick Edwards</t>
  </si>
  <si>
    <t>Bill Cassidy</t>
  </si>
  <si>
    <t>Lee Ann Dugas</t>
  </si>
  <si>
    <t>Steve Scalise</t>
  </si>
  <si>
    <t>Cedric L. Richmond</t>
  </si>
  <si>
    <t>David M. Schilling</t>
  </si>
  <si>
    <t>Braylon Harris</t>
  </si>
  <si>
    <t>Clay Higgins</t>
  </si>
  <si>
    <t>Kenny Houston</t>
  </si>
  <si>
    <t>Mike Johnson</t>
  </si>
  <si>
    <t>Sandra Christophe</t>
  </si>
  <si>
    <t>Luke J. Letlow</t>
  </si>
  <si>
    <t>Dartanyon Williams</t>
  </si>
  <si>
    <t>Garret Graves</t>
  </si>
  <si>
    <t>Maine</t>
  </si>
  <si>
    <t>Sara I. Gideons</t>
  </si>
  <si>
    <t>Susan Collins</t>
  </si>
  <si>
    <t>Chellie Pingree</t>
  </si>
  <si>
    <t>Jay Allen</t>
  </si>
  <si>
    <t>Jared Golden</t>
  </si>
  <si>
    <t>Dale John Crafts</t>
  </si>
  <si>
    <t>Maryland</t>
  </si>
  <si>
    <t>Mia Mason</t>
  </si>
  <si>
    <t>Andy Harris</t>
  </si>
  <si>
    <t>C.A. Dutch Ruppersberger</t>
  </si>
  <si>
    <t>Johnny Ray Salling</t>
  </si>
  <si>
    <t>John Sarbanes</t>
  </si>
  <si>
    <t>Charles Anthony</t>
  </si>
  <si>
    <t>Anthony G. Brown</t>
  </si>
  <si>
    <t>George E. McDermott</t>
  </si>
  <si>
    <t>Steny H. Hoyer</t>
  </si>
  <si>
    <t>Chris Palombi</t>
  </si>
  <si>
    <t>David J. Trone</t>
  </si>
  <si>
    <t>Neil C. Parrott</t>
  </si>
  <si>
    <t>Kweisi Mfume</t>
  </si>
  <si>
    <t>Himberly Klacik</t>
  </si>
  <si>
    <t>Jamie Raskin</t>
  </si>
  <si>
    <t>Gregory Thomas Coll</t>
  </si>
  <si>
    <t>Massachusetts</t>
  </si>
  <si>
    <t>Edward Markey</t>
  </si>
  <si>
    <t>Kevin O'Connor</t>
  </si>
  <si>
    <t>Richard Neal</t>
  </si>
  <si>
    <t>Alex Morse</t>
  </si>
  <si>
    <t>James McGovern</t>
  </si>
  <si>
    <t>Tracy Lyn Lovvorn</t>
  </si>
  <si>
    <t>Lori Loureiro Trahan</t>
  </si>
  <si>
    <t>Jake Auchincloss</t>
  </si>
  <si>
    <t>Julie A. Hall</t>
  </si>
  <si>
    <t>Katherine Clark</t>
  </si>
  <si>
    <t>Caroline Colarusso</t>
  </si>
  <si>
    <t>Seth Moulton</t>
  </si>
  <si>
    <t>John Paul Moran</t>
  </si>
  <si>
    <t>Alyanna Pressley</t>
  </si>
  <si>
    <t>Roy Owens</t>
  </si>
  <si>
    <t>Stephen Lynch</t>
  </si>
  <si>
    <t>Jonathan Lott</t>
  </si>
  <si>
    <t>Bill Keating</t>
  </si>
  <si>
    <t>Helen Brady</t>
  </si>
  <si>
    <t>Michigan</t>
  </si>
  <si>
    <t>Gary Peters</t>
  </si>
  <si>
    <t>John James</t>
  </si>
  <si>
    <t>Dana Ferguson</t>
  </si>
  <si>
    <t>Jack Bergman</t>
  </si>
  <si>
    <t>Bryan Berghoef</t>
  </si>
  <si>
    <t>Bill Huizenga</t>
  </si>
  <si>
    <t xml:space="preserve">Hillary Scholten </t>
  </si>
  <si>
    <t>Peter Meijer</t>
  </si>
  <si>
    <t>Jerry Hilliard</t>
  </si>
  <si>
    <t>John Moolenaar</t>
  </si>
  <si>
    <t>Daniel Kildee</t>
  </si>
  <si>
    <t>Time Kelly</t>
  </si>
  <si>
    <t>Jon Hoadley</t>
  </si>
  <si>
    <t>Fred Upton</t>
  </si>
  <si>
    <t>Gretchn Driskell</t>
  </si>
  <si>
    <t>Time Walberg</t>
  </si>
  <si>
    <t>Andy Levin</t>
  </si>
  <si>
    <t>Charles Langwortht</t>
  </si>
  <si>
    <t>Kiberly Bizon</t>
  </si>
  <si>
    <t>Lisa McClain</t>
  </si>
  <si>
    <t>Elissa Slotkin</t>
  </si>
  <si>
    <t>Paul Junge</t>
  </si>
  <si>
    <t>Haley Stevens</t>
  </si>
  <si>
    <t>Eric Esshaki</t>
  </si>
  <si>
    <t>Debbie Dingell</t>
  </si>
  <si>
    <t>Jeff Jones</t>
  </si>
  <si>
    <t>Rashida Tlaib</t>
  </si>
  <si>
    <t>David Dudenhoefer</t>
  </si>
  <si>
    <t>Brenda Lawrence</t>
  </si>
  <si>
    <t>Robert Vance Patrick</t>
  </si>
  <si>
    <t>Minnesota</t>
  </si>
  <si>
    <t>Tina Smith</t>
  </si>
  <si>
    <t>Jason Lewis</t>
  </si>
  <si>
    <t>Dan Feehan</t>
  </si>
  <si>
    <t>Jim Hagedorn</t>
  </si>
  <si>
    <t>Angie Craig</t>
  </si>
  <si>
    <t>Tyler Kistner</t>
  </si>
  <si>
    <t>Dean Phillips</t>
  </si>
  <si>
    <t>Kendall Qualls</t>
  </si>
  <si>
    <t>Betty McCollum</t>
  </si>
  <si>
    <t>Gene Rechtzigel</t>
  </si>
  <si>
    <t>IIhan Omar</t>
  </si>
  <si>
    <t>Lacy Johnson</t>
  </si>
  <si>
    <t>Tawnja Zahradka</t>
  </si>
  <si>
    <t>Tom Emmer</t>
  </si>
  <si>
    <t>Collin Peterson</t>
  </si>
  <si>
    <t>Michelle Fischbach</t>
  </si>
  <si>
    <t>Quinn Nystrom</t>
  </si>
  <si>
    <t>Pete Stauber</t>
  </si>
  <si>
    <t>Mississippi</t>
  </si>
  <si>
    <t>Mike Espy</t>
  </si>
  <si>
    <t>Cindy Hyde-Smith</t>
  </si>
  <si>
    <t>Antonia Eliason</t>
  </si>
  <si>
    <t>Trent Kelly</t>
  </si>
  <si>
    <t>Bennie G. Thompson</t>
  </si>
  <si>
    <t>Brian Flowers</t>
  </si>
  <si>
    <t>Dorothy Dot Benford</t>
  </si>
  <si>
    <t>Michael Guest</t>
  </si>
  <si>
    <t>Steven Palazzo</t>
  </si>
  <si>
    <t>Missouri</t>
  </si>
  <si>
    <t>Cori Bush</t>
  </si>
  <si>
    <t>Anthony Rogers</t>
  </si>
  <si>
    <t>Jill Schupp</t>
  </si>
  <si>
    <t>Ann Wagner</t>
  </si>
  <si>
    <t xml:space="preserve">Megan Rezabek </t>
  </si>
  <si>
    <t>Blaine Luetkemeyer</t>
  </si>
  <si>
    <t>Lindsey Simmons</t>
  </si>
  <si>
    <t>Vicky Hartzler</t>
  </si>
  <si>
    <t>Emanuel Cleaver II</t>
  </si>
  <si>
    <t>Ryan Derks</t>
  </si>
  <si>
    <t>Gena L. Ross</t>
  </si>
  <si>
    <t>Sam Graves</t>
  </si>
  <si>
    <t>Teresa Montseny</t>
  </si>
  <si>
    <t>Billy Long</t>
  </si>
  <si>
    <t>Kathy Ellis</t>
  </si>
  <si>
    <t>Jason Smith</t>
  </si>
  <si>
    <t>Montana</t>
  </si>
  <si>
    <t>Steve Bullock</t>
  </si>
  <si>
    <t>Steve Daines</t>
  </si>
  <si>
    <t>Kathleen Williams</t>
  </si>
  <si>
    <t>Matt Rosendale</t>
  </si>
  <si>
    <t>Nebraska</t>
  </si>
  <si>
    <t>Chris Janicek</t>
  </si>
  <si>
    <t>Ben Sasse</t>
  </si>
  <si>
    <t>Kate Bolz</t>
  </si>
  <si>
    <t>Jeff Fortenberry</t>
  </si>
  <si>
    <t>Kara Eastman</t>
  </si>
  <si>
    <t>Donald Bacon</t>
  </si>
  <si>
    <t>Mark Elworth Jr.</t>
  </si>
  <si>
    <t>Adrian Smith</t>
  </si>
  <si>
    <t>Nevada</t>
  </si>
  <si>
    <t>Dina Titus</t>
  </si>
  <si>
    <t>Joyce Bentley</t>
  </si>
  <si>
    <t>Patricia Ackerman</t>
  </si>
  <si>
    <t>Mark E. Amodei</t>
  </si>
  <si>
    <t>Suzzanne Lee</t>
  </si>
  <si>
    <t>Dan Rodimer</t>
  </si>
  <si>
    <t>Steven A. Horsford</t>
  </si>
  <si>
    <t>Jim Marchant</t>
  </si>
  <si>
    <t>New Hampshire</t>
  </si>
  <si>
    <t>Jeanne Shaheen</t>
  </si>
  <si>
    <t>Corky Messner</t>
  </si>
  <si>
    <t>Chris Pappas</t>
  </si>
  <si>
    <t>Matt Mowers</t>
  </si>
  <si>
    <t>Ann McLane Kuster</t>
  </si>
  <si>
    <t>Steven Negron</t>
  </si>
  <si>
    <t xml:space="preserve">New Jersey </t>
  </si>
  <si>
    <t>Cory Booker</t>
  </si>
  <si>
    <t>Rikin Mehta</t>
  </si>
  <si>
    <t>Donald Norcross</t>
  </si>
  <si>
    <t>Claire Gustafson</t>
  </si>
  <si>
    <t>Amy Kennedy</t>
  </si>
  <si>
    <t>Jeff Van Drew</t>
  </si>
  <si>
    <t>Andy Kim</t>
  </si>
  <si>
    <t>David Richter</t>
  </si>
  <si>
    <t>Stephanie Schmid</t>
  </si>
  <si>
    <t>Christopher Smith</t>
  </si>
  <si>
    <t>Josh Gottheimer</t>
  </si>
  <si>
    <t>Frank Pallotta</t>
  </si>
  <si>
    <t>Frank Pallone</t>
  </si>
  <si>
    <t>Christian Onuoha</t>
  </si>
  <si>
    <t>Tom Malinowski</t>
  </si>
  <si>
    <t>Thomas Kean Jr</t>
  </si>
  <si>
    <t>Albio Sires</t>
  </si>
  <si>
    <t>Jason Mushnick</t>
  </si>
  <si>
    <t>Bill Pascrell</t>
  </si>
  <si>
    <t>Billy Prempeh</t>
  </si>
  <si>
    <t>Donald Payne Jr.</t>
  </si>
  <si>
    <t>Jennifer Zinone</t>
  </si>
  <si>
    <t>Mikie Sherrill</t>
  </si>
  <si>
    <t>Rosemary Becchi</t>
  </si>
  <si>
    <t>Bommie Watson Coleman</t>
  </si>
  <si>
    <t>Mark Razzoli</t>
  </si>
  <si>
    <t>New Mexico</t>
  </si>
  <si>
    <t>Ben Ray Lujan</t>
  </si>
  <si>
    <t>Mark Ronchetti</t>
  </si>
  <si>
    <t>Deb Haaland</t>
  </si>
  <si>
    <t>Michelle Garcia Holmes</t>
  </si>
  <si>
    <t>Xochitl Torres Small</t>
  </si>
  <si>
    <t>Yvette Herrel</t>
  </si>
  <si>
    <t>Teresa Leger Fernandez</t>
  </si>
  <si>
    <t>Alexis Johnson</t>
  </si>
  <si>
    <t>New York</t>
  </si>
  <si>
    <t>Nancy Goroff</t>
  </si>
  <si>
    <t>Lee Zeldin</t>
  </si>
  <si>
    <t>Jackie Gordon</t>
  </si>
  <si>
    <t>Andrew Garbarino</t>
  </si>
  <si>
    <t>Thomas Suozzi</t>
  </si>
  <si>
    <t>George Santos</t>
  </si>
  <si>
    <t>Kathleen Rice</t>
  </si>
  <si>
    <t>Douglas Tuman</t>
  </si>
  <si>
    <t>Gregory Meeks</t>
  </si>
  <si>
    <t>Grace Meng</t>
  </si>
  <si>
    <t>Thomas Zmich</t>
  </si>
  <si>
    <t>Nydia Velazquez</t>
  </si>
  <si>
    <t>Brian Kelly</t>
  </si>
  <si>
    <t>Hakeem Jeffries</t>
  </si>
  <si>
    <t>Garfield Wallace</t>
  </si>
  <si>
    <t>Yvette Clarke</t>
  </si>
  <si>
    <t>Constantine Jean-Pierre</t>
  </si>
  <si>
    <t>Jerrold Nadler</t>
  </si>
  <si>
    <t>Cathy Bernstein</t>
  </si>
  <si>
    <t>Max Rose</t>
  </si>
  <si>
    <t>Nicole Malliotakis</t>
  </si>
  <si>
    <t>Carolyn Maloney</t>
  </si>
  <si>
    <t>Carlos Santiago-Cano</t>
  </si>
  <si>
    <t>Adriano Espaillat</t>
  </si>
  <si>
    <t>Lovelynn Gwinn</t>
  </si>
  <si>
    <t>Alexandria Ocasio-Cortez</t>
  </si>
  <si>
    <t>John Cummings</t>
  </si>
  <si>
    <t>Ritchie Torres</t>
  </si>
  <si>
    <t>Patrick Delices</t>
  </si>
  <si>
    <t>Jamaal Bowman</t>
  </si>
  <si>
    <t>Mondaire Jones</t>
  </si>
  <si>
    <t>Maureen McArdle Schulman</t>
  </si>
  <si>
    <t>Sean Patrick Maloney</t>
  </si>
  <si>
    <t>Chele Farley</t>
  </si>
  <si>
    <t>Antonio Delgado</t>
  </si>
  <si>
    <t>Kyle Van De Water</t>
  </si>
  <si>
    <t>Paul Tonko</t>
  </si>
  <si>
    <t>Elizabeth Joy</t>
  </si>
  <si>
    <t>Tedra Cobb</t>
  </si>
  <si>
    <t>Elise Stefanik</t>
  </si>
  <si>
    <t>Anthony Brindisi</t>
  </si>
  <si>
    <t>Claudia Tenney</t>
  </si>
  <si>
    <t>Tracy Mitrano</t>
  </si>
  <si>
    <t>Tom Reed</t>
  </si>
  <si>
    <t>Dana Balter</t>
  </si>
  <si>
    <t>John Katko</t>
  </si>
  <si>
    <t>Joseph Morelle</t>
  </si>
  <si>
    <t>George Mitris</t>
  </si>
  <si>
    <t>Brian Higgins</t>
  </si>
  <si>
    <t>Ricky Donovan</t>
  </si>
  <si>
    <t>Nathan McMurray</t>
  </si>
  <si>
    <t>Chris Jacobs</t>
  </si>
  <si>
    <t>North Carolina</t>
  </si>
  <si>
    <t>Cal Cunningham</t>
  </si>
  <si>
    <t>Thom Tillis</t>
  </si>
  <si>
    <t>G.K. Butterfield</t>
  </si>
  <si>
    <t>Sandy Smith</t>
  </si>
  <si>
    <t>Deborah Ross</t>
  </si>
  <si>
    <t>A;am Swain</t>
  </si>
  <si>
    <t>Daryl Farrow</t>
  </si>
  <si>
    <t>Greg Murphy</t>
  </si>
  <si>
    <t>David Price</t>
  </si>
  <si>
    <t>Robert Thomas</t>
  </si>
  <si>
    <t>David Brown</t>
  </si>
  <si>
    <t>Virginia Foxx</t>
  </si>
  <si>
    <t xml:space="preserve">Kathy Manning </t>
  </si>
  <si>
    <t>Lee Haywood</t>
  </si>
  <si>
    <t>Christopher Ward</t>
  </si>
  <si>
    <t>David Rouzer</t>
  </si>
  <si>
    <t>Patricia Timmons-Goodson</t>
  </si>
  <si>
    <t>Richard Hudson</t>
  </si>
  <si>
    <t xml:space="preserve">Cynthia Wallace </t>
  </si>
  <si>
    <t>Dan Bishop</t>
  </si>
  <si>
    <t>David Parker</t>
  </si>
  <si>
    <t>Patrick McHenry</t>
  </si>
  <si>
    <t>Moe Davis</t>
  </si>
  <si>
    <t>Madison Cawthorn</t>
  </si>
  <si>
    <t>Alma Adams</t>
  </si>
  <si>
    <t>Scott Huffman</t>
  </si>
  <si>
    <t>Ted Budd</t>
  </si>
  <si>
    <t>North Dakota</t>
  </si>
  <si>
    <t>Zach Raknerud</t>
  </si>
  <si>
    <t>Kelly Armstrong</t>
  </si>
  <si>
    <t>Ohio</t>
  </si>
  <si>
    <t>Kate Schroder</t>
  </si>
  <si>
    <t>Steve Chabot</t>
  </si>
  <si>
    <t>Jaime Castle</t>
  </si>
  <si>
    <t>Brad Wenstrup</t>
  </si>
  <si>
    <t>Joyce Beatty</t>
  </si>
  <si>
    <t>Mark Richardson</t>
  </si>
  <si>
    <t>Shannon Freshour</t>
  </si>
  <si>
    <t>Jim Jordan</t>
  </si>
  <si>
    <t>Nick Rubando</t>
  </si>
  <si>
    <t xml:space="preserve">Bob Latta </t>
  </si>
  <si>
    <t>Shawna Roberts</t>
  </si>
  <si>
    <t>Bill Johnson</t>
  </si>
  <si>
    <t>Quentin Potter</t>
  </si>
  <si>
    <t>Bob Gibbs</t>
  </si>
  <si>
    <t>Vanessa Enoch</t>
  </si>
  <si>
    <t>Warren Davidson</t>
  </si>
  <si>
    <t>Marcy Kaptur</t>
  </si>
  <si>
    <t>Rob Weber</t>
  </si>
  <si>
    <t>Desiree Tims</t>
  </si>
  <si>
    <t>Mike Turner</t>
  </si>
  <si>
    <t>Marcia Fudge</t>
  </si>
  <si>
    <t>Laverne Gore</t>
  </si>
  <si>
    <t>Alaina Shearer</t>
  </si>
  <si>
    <t>Troy Balderson</t>
  </si>
  <si>
    <t>Tim Ryan</t>
  </si>
  <si>
    <t xml:space="preserve">Christina Hagan </t>
  </si>
  <si>
    <t>Hillary O'Conner Mueri</t>
  </si>
  <si>
    <t>David Joyce</t>
  </si>
  <si>
    <t>Oklahoma</t>
  </si>
  <si>
    <t>Abby Broyles</t>
  </si>
  <si>
    <t>Jim Inhofe</t>
  </si>
  <si>
    <t>Kojo Asamoa-Caesar</t>
  </si>
  <si>
    <t>Kevin Hern</t>
  </si>
  <si>
    <t>Danyell Lanier</t>
  </si>
  <si>
    <t>Markwayne Mullin</t>
  </si>
  <si>
    <t>Zoe Midyett</t>
  </si>
  <si>
    <t>Frank Lucas</t>
  </si>
  <si>
    <t>Mary Brannon</t>
  </si>
  <si>
    <t>Tom Cole</t>
  </si>
  <si>
    <t>Kendra Horn</t>
  </si>
  <si>
    <t>Stephanie Bice</t>
  </si>
  <si>
    <t>Oregon</t>
  </si>
  <si>
    <t>Jeff Merkley</t>
  </si>
  <si>
    <t>Jo Rae Perkins</t>
  </si>
  <si>
    <t>Suzanne Bonamici</t>
  </si>
  <si>
    <t>Christopher Christensen</t>
  </si>
  <si>
    <t>Alex Spenser</t>
  </si>
  <si>
    <t>Cliff Bentz</t>
  </si>
  <si>
    <t>Earl Blumenauer</t>
  </si>
  <si>
    <t>Joanna Harbour</t>
  </si>
  <si>
    <t>Peter DeFazio</t>
  </si>
  <si>
    <t>Alek Skarlatos</t>
  </si>
  <si>
    <t>Kurt Schrader</t>
  </si>
  <si>
    <t>Amy Ryan Courser</t>
  </si>
  <si>
    <t>Pennsylvania</t>
  </si>
  <si>
    <t>Christina Finello</t>
  </si>
  <si>
    <t>Brian Fitzpatrick</t>
  </si>
  <si>
    <t>Brendan Boyle</t>
  </si>
  <si>
    <t>David Torres</t>
  </si>
  <si>
    <t>Dwight Evans</t>
  </si>
  <si>
    <t>Michael Harvey</t>
  </si>
  <si>
    <t>Madeleine Dean</t>
  </si>
  <si>
    <t>Kathy Barnette</t>
  </si>
  <si>
    <t>Mary Gay Scanlon</t>
  </si>
  <si>
    <t>Dasha Pruett</t>
  </si>
  <si>
    <t>Chrissy Houlahan</t>
  </si>
  <si>
    <t>John Emmons</t>
  </si>
  <si>
    <t>Susan Wild</t>
  </si>
  <si>
    <t>Lisa Scheller</t>
  </si>
  <si>
    <t>Matt Cartwright</t>
  </si>
  <si>
    <t>Jim Bognet</t>
  </si>
  <si>
    <t xml:space="preserve">Gary Wegman </t>
  </si>
  <si>
    <t>Dan Meuser</t>
  </si>
  <si>
    <t>Eugene DePasquale</t>
  </si>
  <si>
    <t>Scott Perry</t>
  </si>
  <si>
    <t>Sarah Hammond</t>
  </si>
  <si>
    <t>Lloyd Smucker</t>
  </si>
  <si>
    <t>Lee Griffin</t>
  </si>
  <si>
    <t>Fred Keller</t>
  </si>
  <si>
    <t>Todd Rowley</t>
  </si>
  <si>
    <t>John Joyce</t>
  </si>
  <si>
    <t>Guy Reschenthaler</t>
  </si>
  <si>
    <t>Bill Marx</t>
  </si>
  <si>
    <t>Robert Williams</t>
  </si>
  <si>
    <t>Glenn Thompson</t>
  </si>
  <si>
    <t>Kristy Gnibus</t>
  </si>
  <si>
    <t>Mike Kelley</t>
  </si>
  <si>
    <t>Conor Lamb</t>
  </si>
  <si>
    <t>Sean Parnell</t>
  </si>
  <si>
    <t>Mike Doyle</t>
  </si>
  <si>
    <t>Luke Negron</t>
  </si>
  <si>
    <t>Rhode Island</t>
  </si>
  <si>
    <t>John Reed</t>
  </si>
  <si>
    <t>Allen Waters</t>
  </si>
  <si>
    <t>David Cicilline</t>
  </si>
  <si>
    <t>Frederick Wysocki</t>
  </si>
  <si>
    <t>James Langevin</t>
  </si>
  <si>
    <t>Robert Lancia</t>
  </si>
  <si>
    <t>South Carolina</t>
  </si>
  <si>
    <t>Jaime Harrison</t>
  </si>
  <si>
    <t>Lindsey Graham</t>
  </si>
  <si>
    <t>Joe Cunningham</t>
  </si>
  <si>
    <t>Nancy Mace</t>
  </si>
  <si>
    <t>Adair Boroughs</t>
  </si>
  <si>
    <t>Joe Wilson</t>
  </si>
  <si>
    <t>Hosea Cleveland</t>
  </si>
  <si>
    <t>Jeff Duncan</t>
  </si>
  <si>
    <t>Kim Nelson</t>
  </si>
  <si>
    <t>William Timmons</t>
  </si>
  <si>
    <t>Moe Brown</t>
  </si>
  <si>
    <t>Ralph Norman</t>
  </si>
  <si>
    <t>Jim Clyburn</t>
  </si>
  <si>
    <t>John McCollum</t>
  </si>
  <si>
    <t>Melissa Watson</t>
  </si>
  <si>
    <t>Tom Rice</t>
  </si>
  <si>
    <t>South Dakota</t>
  </si>
  <si>
    <t>Dan Ahlers</t>
  </si>
  <si>
    <t>Mike Rounds</t>
  </si>
  <si>
    <t>Randy Luallin</t>
  </si>
  <si>
    <t>Dusty Johnson</t>
  </si>
  <si>
    <t>Tennessee</t>
  </si>
  <si>
    <t>Marquita Bradshaw</t>
  </si>
  <si>
    <t>Bill Hagerty</t>
  </si>
  <si>
    <t>Blair Walsingham</t>
  </si>
  <si>
    <t>Diana Harshbarger</t>
  </si>
  <si>
    <t>Renee Hoyos</t>
  </si>
  <si>
    <t>Tim Burchett</t>
  </si>
  <si>
    <t>Meg Gorman</t>
  </si>
  <si>
    <t>Chuck Fleischmann</t>
  </si>
  <si>
    <t>Christopher Hale</t>
  </si>
  <si>
    <t>Scott DesJarlais</t>
  </si>
  <si>
    <t>Jim Cooper</t>
  </si>
  <si>
    <t>Christopher Finley</t>
  </si>
  <si>
    <t>John Rose</t>
  </si>
  <si>
    <t>Kiran Sreepada</t>
  </si>
  <si>
    <t>Mark Green</t>
  </si>
  <si>
    <t>Erika Pearson</t>
  </si>
  <si>
    <t>David Kustoff</t>
  </si>
  <si>
    <t>Steve Cohen</t>
  </si>
  <si>
    <t>Charlotte Bergmann</t>
  </si>
  <si>
    <t xml:space="preserve">Texas </t>
  </si>
  <si>
    <t>Mary Hegar</t>
  </si>
  <si>
    <t>John Cornyn</t>
  </si>
  <si>
    <t>Hank Gilbert</t>
  </si>
  <si>
    <t>Louie Gohmert</t>
  </si>
  <si>
    <t>Sima Ladjevardian</t>
  </si>
  <si>
    <t>Dan Crenshaw</t>
  </si>
  <si>
    <t>Lulu Seikaly</t>
  </si>
  <si>
    <t>Van Taylor</t>
  </si>
  <si>
    <t>Russell Foster</t>
  </si>
  <si>
    <t>Pat Fallon</t>
  </si>
  <si>
    <t>Carolyn Salter</t>
  </si>
  <si>
    <t>Lance Gooden</t>
  </si>
  <si>
    <t>Stephen Daniel</t>
  </si>
  <si>
    <t>Ron Wright</t>
  </si>
  <si>
    <t>Lizzie Fletcher</t>
  </si>
  <si>
    <t>Wesley Hunt</t>
  </si>
  <si>
    <t>Elizabeth Hernandez</t>
  </si>
  <si>
    <t>Kevin Brady</t>
  </si>
  <si>
    <t>Al Green</t>
  </si>
  <si>
    <t>Johnny Teague</t>
  </si>
  <si>
    <t>Mike Seigel</t>
  </si>
  <si>
    <t>Michael McCaul</t>
  </si>
  <si>
    <t>Jon Hogg</t>
  </si>
  <si>
    <t>August Pfluger</t>
  </si>
  <si>
    <t>Lisa Welch</t>
  </si>
  <si>
    <t>Kay Granger</t>
  </si>
  <si>
    <t>Gus Trujillo</t>
  </si>
  <si>
    <t>Ronny Jackson</t>
  </si>
  <si>
    <t>Adrienne Bell</t>
  </si>
  <si>
    <t>Randy Weber</t>
  </si>
  <si>
    <t>Vicente Gonzalez</t>
  </si>
  <si>
    <t>Monica De La Cruz-Hernandez</t>
  </si>
  <si>
    <t>Veronica Escobar</t>
  </si>
  <si>
    <t>Irene Armendariz-Jackson</t>
  </si>
  <si>
    <t>Rick Kennedy</t>
  </si>
  <si>
    <t>Pete Sessions</t>
  </si>
  <si>
    <t>Sheila Jackson Lee</t>
  </si>
  <si>
    <t>Wendell Champion</t>
  </si>
  <si>
    <t>Tom Watson</t>
  </si>
  <si>
    <t>Jodey Arrington</t>
  </si>
  <si>
    <t>Joaquin Castro</t>
  </si>
  <si>
    <t>Mauro Garza</t>
  </si>
  <si>
    <t>Wendy Davis</t>
  </si>
  <si>
    <t>Chip Roy</t>
  </si>
  <si>
    <t>Sri Kulkarni</t>
  </si>
  <si>
    <t>Troy Nehls</t>
  </si>
  <si>
    <t>Gina Ortiz Jones</t>
  </si>
  <si>
    <t>Tony Gonzales</t>
  </si>
  <si>
    <t>Candace Valenzuela</t>
  </si>
  <si>
    <t>Beth van Duyne</t>
  </si>
  <si>
    <t>Julie Oliver</t>
  </si>
  <si>
    <t>Roger Williams</t>
  </si>
  <si>
    <t>Carol Iannuzzi</t>
  </si>
  <si>
    <t>Michael Burgess</t>
  </si>
  <si>
    <t>Ricardo De La Fuente</t>
  </si>
  <si>
    <t>Michael Cloud</t>
  </si>
  <si>
    <t>Henry Cuellar</t>
  </si>
  <si>
    <t>Sandra Whitten</t>
  </si>
  <si>
    <t>Sylvia Garcia</t>
  </si>
  <si>
    <t>Jaimy Blanco</t>
  </si>
  <si>
    <t>Eddie Johnson</t>
  </si>
  <si>
    <t>Tre Pennie</t>
  </si>
  <si>
    <t>Donna Imam</t>
  </si>
  <si>
    <t>John Carter</t>
  </si>
  <si>
    <t>Colin Allred</t>
  </si>
  <si>
    <t>Genevieve Collins</t>
  </si>
  <si>
    <t>Marc Veasey</t>
  </si>
  <si>
    <t>Fabian Vasquez</t>
  </si>
  <si>
    <t>Filemon Vela</t>
  </si>
  <si>
    <t>Rey Gonzalez</t>
  </si>
  <si>
    <t>Lloyd Doggett</t>
  </si>
  <si>
    <t>Jenny Sharon</t>
  </si>
  <si>
    <t>Rashad Lewis</t>
  </si>
  <si>
    <t>Brian Babin</t>
  </si>
  <si>
    <t>Utah</t>
  </si>
  <si>
    <t>Darren Parry</t>
  </si>
  <si>
    <t>Blake Moore</t>
  </si>
  <si>
    <t>Kael Weston</t>
  </si>
  <si>
    <t>Chris Stewart</t>
  </si>
  <si>
    <t>Devin Thorpe</t>
  </si>
  <si>
    <t>John Curtis</t>
  </si>
  <si>
    <t>Ben McAdams</t>
  </si>
  <si>
    <t>Burgess Owens</t>
  </si>
  <si>
    <t>Vermont</t>
  </si>
  <si>
    <t>Peter Welch</t>
  </si>
  <si>
    <t>Miriam Berry</t>
  </si>
  <si>
    <t>Virginia</t>
  </si>
  <si>
    <t>Mark Warner</t>
  </si>
  <si>
    <t>Daniel Gade</t>
  </si>
  <si>
    <t>Qasim Rashid</t>
  </si>
  <si>
    <t>Robert Wittman</t>
  </si>
  <si>
    <t>Elaine Luria</t>
  </si>
  <si>
    <t>Scott Taylor</t>
  </si>
  <si>
    <t>Bobby Scott</t>
  </si>
  <si>
    <t>John Collick</t>
  </si>
  <si>
    <t>Donald McEachin</t>
  </si>
  <si>
    <t>Leon Benjamin</t>
  </si>
  <si>
    <t>Cameron Webb</t>
  </si>
  <si>
    <t>Robert Good</t>
  </si>
  <si>
    <t>Nicholas Betts</t>
  </si>
  <si>
    <t>Ben Cline</t>
  </si>
  <si>
    <t>Abigail Spanberger</t>
  </si>
  <si>
    <t>Nick Freitas</t>
  </si>
  <si>
    <t>Donald Beyer</t>
  </si>
  <si>
    <t>Jeff Jordan</t>
  </si>
  <si>
    <t>H. Morgan Griffith</t>
  </si>
  <si>
    <t>Jennifer Wexton</t>
  </si>
  <si>
    <t>Aliscia Andrews</t>
  </si>
  <si>
    <t>Gerry Connolly</t>
  </si>
  <si>
    <t>Manga Anantatmula</t>
  </si>
  <si>
    <t>Washington</t>
  </si>
  <si>
    <t>Suzan DelBene</t>
  </si>
  <si>
    <t>Jeffrey Beeler</t>
  </si>
  <si>
    <t>Rick Larsen</t>
  </si>
  <si>
    <t>Timothy Hazelo</t>
  </si>
  <si>
    <t>Carolyn Long</t>
  </si>
  <si>
    <t>Jaime Herrera Beutler</t>
  </si>
  <si>
    <t>Douglass McKinley</t>
  </si>
  <si>
    <t>Dan Newhouse</t>
  </si>
  <si>
    <t>Dave Wilson</t>
  </si>
  <si>
    <t>Cathy McMorris Rodgers</t>
  </si>
  <si>
    <t>Derek Kilmer</t>
  </si>
  <si>
    <t>Elizabeth Kreiselmaier</t>
  </si>
  <si>
    <t>Pramila Jayapal</t>
  </si>
  <si>
    <t>Craig Keller</t>
  </si>
  <si>
    <t>Kim Schrier</t>
  </si>
  <si>
    <t>Jesse Jensen</t>
  </si>
  <si>
    <t>Adam Smith</t>
  </si>
  <si>
    <t>Doug Basler</t>
  </si>
  <si>
    <t>Marilyn Strickland</t>
  </si>
  <si>
    <t>Beth Dglio</t>
  </si>
  <si>
    <t>West Virginia</t>
  </si>
  <si>
    <t xml:space="preserve">Paula Jean Swearengin </t>
  </si>
  <si>
    <t>Shelley Moore Capito</t>
  </si>
  <si>
    <t xml:space="preserve">Natalie Cline </t>
  </si>
  <si>
    <t>David McKinley</t>
  </si>
  <si>
    <t>Cathy Kunkel</t>
  </si>
  <si>
    <t>Alex Mooney</t>
  </si>
  <si>
    <t>Hilary Turner</t>
  </si>
  <si>
    <t>Carol Miller</t>
  </si>
  <si>
    <t>Wisconsin</t>
  </si>
  <si>
    <t>Roger Polack</t>
  </si>
  <si>
    <t>Bryan Steil</t>
  </si>
  <si>
    <t>Mark Pocan</t>
  </si>
  <si>
    <t>Peter Theron</t>
  </si>
  <si>
    <t>Ron Knd</t>
  </si>
  <si>
    <t>Derrick Van Orden</t>
  </si>
  <si>
    <t>Gwen Moore</t>
  </si>
  <si>
    <t>Tim Rogers</t>
  </si>
  <si>
    <t>Tom Palzewicz</t>
  </si>
  <si>
    <t>Scott Fitzgerald</t>
  </si>
  <si>
    <t>Jessica King</t>
  </si>
  <si>
    <t>Glenn Grothman</t>
  </si>
  <si>
    <t>Tricia Zunker</t>
  </si>
  <si>
    <t>Tom Tiffany</t>
  </si>
  <si>
    <t>Amanda Stuck</t>
  </si>
  <si>
    <t>Mike Gallagher</t>
  </si>
  <si>
    <t>Wyoming</t>
  </si>
  <si>
    <t>Merav Ben-David</t>
  </si>
  <si>
    <t>Cynthia Lummis</t>
  </si>
  <si>
    <t>Lynnette Grey Bull</t>
  </si>
  <si>
    <t>Liz Cheney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</si>
</sst>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ont="1"/>
    <xf numFmtId="0" fontId="0" fillId="0" borderId="0" xfId="0" applyFont="1" applyFill="1"/>
    <xf numFmtId="0" fontId="2" fillId="0" borderId="0" xfId="0" quotePrefix="1" applyFont="1"/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AA11-795E-4093-A04F-1DFE9E42F9C1}">
  <dimension ref="A1:LL52"/>
  <sheetViews>
    <sheetView tabSelected="1" topLeftCell="A25" workbookViewId="0">
      <selection activeCell="F34" sqref="F34"/>
    </sheetView>
  </sheetViews>
  <sheetFormatPr defaultRowHeight="14.4" x14ac:dyDescent="0.3"/>
  <cols>
    <col min="1" max="1" width="15.33203125" bestFit="1" customWidth="1"/>
    <col min="2" max="2" width="22.6640625" bestFit="1" customWidth="1"/>
    <col min="3" max="3" width="20.33203125" bestFit="1" customWidth="1"/>
    <col min="4" max="4" width="19.33203125" customWidth="1"/>
    <col min="5" max="5" width="16.109375" customWidth="1"/>
    <col min="6" max="6" width="18.44140625" bestFit="1" customWidth="1"/>
    <col min="7" max="7" width="21.6640625" bestFit="1" customWidth="1"/>
    <col min="8" max="8" width="17" bestFit="1" customWidth="1"/>
    <col min="9" max="9" width="19" bestFit="1" customWidth="1"/>
    <col min="10" max="10" width="22.109375" bestFit="1" customWidth="1"/>
    <col min="13" max="13" width="15.109375" bestFit="1" customWidth="1"/>
    <col min="14" max="14" width="17" bestFit="1" customWidth="1"/>
    <col min="15" max="15" width="24.109375" bestFit="1" customWidth="1"/>
    <col min="16" max="16" width="24.6640625" bestFit="1" customWidth="1"/>
    <col min="17" max="17" width="7.33203125" customWidth="1"/>
    <col min="19" max="19" width="15.109375" bestFit="1" customWidth="1"/>
    <col min="20" max="20" width="17" bestFit="1" customWidth="1"/>
    <col min="21" max="21" width="22.33203125" bestFit="1" customWidth="1"/>
    <col min="22" max="22" width="20.5546875" bestFit="1" customWidth="1"/>
    <col min="25" max="25" width="15.109375" bestFit="1" customWidth="1"/>
    <col min="26" max="26" width="16.109375" bestFit="1" customWidth="1"/>
    <col min="27" max="27" width="19" bestFit="1" customWidth="1"/>
    <col min="28" max="28" width="20.109375" bestFit="1" customWidth="1"/>
    <col min="32" max="32" width="17" bestFit="1" customWidth="1"/>
    <col min="33" max="33" width="18.33203125" bestFit="1" customWidth="1"/>
    <col min="34" max="34" width="22.6640625" bestFit="1" customWidth="1"/>
    <col min="35" max="35" width="8.44140625" customWidth="1"/>
    <col min="37" max="37" width="15.109375" bestFit="1" customWidth="1"/>
    <col min="39" max="39" width="18.5546875" bestFit="1" customWidth="1"/>
    <col min="40" max="40" width="21.109375" bestFit="1" customWidth="1"/>
    <col min="43" max="43" width="15.109375" bestFit="1" customWidth="1"/>
    <col min="44" max="44" width="17" bestFit="1" customWidth="1"/>
    <col min="45" max="45" width="18" bestFit="1" customWidth="1"/>
    <col min="46" max="46" width="16.6640625" bestFit="1" customWidth="1"/>
    <col min="49" max="49" width="15.109375" bestFit="1" customWidth="1"/>
    <col min="50" max="50" width="17" bestFit="1" customWidth="1"/>
    <col min="51" max="51" width="25.109375" bestFit="1" customWidth="1"/>
    <col min="52" max="52" width="19.44140625" bestFit="1" customWidth="1"/>
    <col min="55" max="55" width="15.109375" bestFit="1" customWidth="1"/>
    <col min="56" max="56" width="17" bestFit="1" customWidth="1"/>
    <col min="57" max="57" width="17.88671875" bestFit="1" customWidth="1"/>
    <col min="58" max="58" width="18" bestFit="1" customWidth="1"/>
    <col min="62" max="62" width="17" bestFit="1" customWidth="1"/>
    <col min="63" max="63" width="21.88671875" bestFit="1" customWidth="1"/>
    <col min="64" max="64" width="25.88671875" bestFit="1" customWidth="1"/>
    <col min="67" max="67" width="15.109375" bestFit="1" customWidth="1"/>
    <col min="68" max="68" width="17" bestFit="1" customWidth="1"/>
    <col min="69" max="69" width="15.6640625" bestFit="1" customWidth="1"/>
    <col min="70" max="70" width="17.88671875" bestFit="1" customWidth="1"/>
    <col min="74" max="74" width="17" bestFit="1" customWidth="1"/>
    <col min="75" max="75" width="24.33203125" bestFit="1" customWidth="1"/>
    <col min="76" max="76" width="14.44140625" bestFit="1" customWidth="1"/>
    <col min="81" max="81" width="22.6640625" bestFit="1" customWidth="1"/>
    <col min="82" max="82" width="18.5546875" bestFit="1" customWidth="1"/>
    <col min="87" max="87" width="21.6640625" bestFit="1" customWidth="1"/>
    <col min="88" max="88" width="19.5546875" bestFit="1" customWidth="1"/>
    <col min="93" max="93" width="15.33203125" bestFit="1" customWidth="1"/>
    <col min="94" max="94" width="16.109375" bestFit="1" customWidth="1"/>
    <col min="99" max="99" width="15.5546875" bestFit="1" customWidth="1"/>
    <col min="100" max="100" width="14.5546875" bestFit="1" customWidth="1"/>
    <col min="103" max="103" width="15.33203125" bestFit="1" customWidth="1"/>
    <col min="104" max="104" width="17.109375" bestFit="1" customWidth="1"/>
    <col min="105" max="105" width="12.109375" bestFit="1" customWidth="1"/>
    <col min="106" max="106" width="14.44140625" bestFit="1" customWidth="1"/>
    <col min="111" max="111" width="12.88671875" bestFit="1" customWidth="1"/>
    <col min="112" max="112" width="14.109375" bestFit="1" customWidth="1"/>
    <col min="117" max="117" width="12.44140625" bestFit="1" customWidth="1"/>
    <col min="118" max="118" width="14" bestFit="1" customWidth="1"/>
    <col min="123" max="123" width="14.109375" bestFit="1" customWidth="1"/>
    <col min="124" max="124" width="17.44140625" bestFit="1" customWidth="1"/>
    <col min="128" max="128" width="10.33203125" customWidth="1"/>
    <col min="129" max="129" width="11.5546875" bestFit="1" customWidth="1"/>
    <col min="130" max="130" width="13" bestFit="1" customWidth="1"/>
    <col min="135" max="135" width="11.109375" bestFit="1" customWidth="1"/>
    <col min="136" max="136" width="13.5546875" bestFit="1" customWidth="1"/>
    <col min="141" max="141" width="25.44140625" bestFit="1" customWidth="1"/>
    <col min="142" max="142" width="13.6640625" bestFit="1" customWidth="1"/>
    <col min="147" max="147" width="16.109375" bestFit="1" customWidth="1"/>
    <col min="148" max="148" width="12.88671875" bestFit="1" customWidth="1"/>
    <col min="149" max="149" width="10" customWidth="1"/>
    <col min="154" max="154" width="12.109375" bestFit="1" customWidth="1"/>
    <col min="159" max="159" width="22.6640625" bestFit="1" customWidth="1"/>
    <col min="160" max="160" width="15" bestFit="1" customWidth="1"/>
    <col min="165" max="165" width="13.6640625" bestFit="1" customWidth="1"/>
    <col min="166" max="166" width="18.33203125" bestFit="1" customWidth="1"/>
    <col min="171" max="171" width="13.33203125" bestFit="1" customWidth="1"/>
    <col min="172" max="172" width="15.44140625" customWidth="1"/>
  </cols>
  <sheetData>
    <row r="1" spans="1:324" x14ac:dyDescent="0.3">
      <c r="A1" t="s">
        <v>0</v>
      </c>
      <c r="D1" t="s">
        <v>1</v>
      </c>
      <c r="F1" s="2">
        <v>159544854</v>
      </c>
      <c r="G1" t="s">
        <v>2</v>
      </c>
      <c r="H1" s="2">
        <v>160000</v>
      </c>
      <c r="I1" s="2"/>
      <c r="J1" s="2"/>
    </row>
    <row r="2" spans="1:324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6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9</v>
      </c>
      <c r="N2" s="1" t="s">
        <v>6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9</v>
      </c>
      <c r="T2" s="1" t="s">
        <v>6</v>
      </c>
      <c r="U2" s="1" t="s">
        <v>10</v>
      </c>
      <c r="V2" s="1" t="s">
        <v>11</v>
      </c>
      <c r="W2" s="1" t="s">
        <v>12</v>
      </c>
      <c r="X2" s="1" t="s">
        <v>13</v>
      </c>
      <c r="Y2" s="1" t="s">
        <v>9</v>
      </c>
      <c r="Z2" s="1" t="s">
        <v>6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9</v>
      </c>
      <c r="AF2" s="1" t="s">
        <v>6</v>
      </c>
      <c r="AG2" s="1" t="s">
        <v>10</v>
      </c>
      <c r="AH2" s="1" t="s">
        <v>11</v>
      </c>
      <c r="AI2" s="1" t="s">
        <v>12</v>
      </c>
      <c r="AJ2" s="1" t="s">
        <v>13</v>
      </c>
      <c r="AK2" s="1" t="s">
        <v>9</v>
      </c>
      <c r="AL2" s="1" t="s">
        <v>6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9</v>
      </c>
      <c r="AR2" s="1" t="s">
        <v>6</v>
      </c>
      <c r="AS2" s="1" t="s">
        <v>10</v>
      </c>
      <c r="AT2" s="1" t="s">
        <v>11</v>
      </c>
      <c r="AU2" s="1" t="s">
        <v>12</v>
      </c>
      <c r="AV2" s="1" t="s">
        <v>13</v>
      </c>
      <c r="AW2" s="1" t="s">
        <v>9</v>
      </c>
      <c r="AX2" s="1" t="s">
        <v>6</v>
      </c>
      <c r="AY2" s="1" t="s">
        <v>10</v>
      </c>
      <c r="AZ2" s="1" t="s">
        <v>11</v>
      </c>
      <c r="BA2" s="1" t="s">
        <v>12</v>
      </c>
      <c r="BB2" s="1" t="s">
        <v>13</v>
      </c>
      <c r="BC2" s="1" t="s">
        <v>9</v>
      </c>
      <c r="BD2" s="1" t="s">
        <v>6</v>
      </c>
      <c r="BE2" s="1" t="s">
        <v>10</v>
      </c>
      <c r="BF2" s="1" t="s">
        <v>11</v>
      </c>
      <c r="BG2" s="1" t="s">
        <v>12</v>
      </c>
      <c r="BH2" s="1" t="s">
        <v>13</v>
      </c>
      <c r="BI2" s="1" t="s">
        <v>9</v>
      </c>
      <c r="BJ2" s="1" t="s">
        <v>6</v>
      </c>
      <c r="BK2" s="1" t="s">
        <v>10</v>
      </c>
      <c r="BL2" s="1" t="s">
        <v>11</v>
      </c>
      <c r="BM2" s="1" t="s">
        <v>12</v>
      </c>
      <c r="BN2" s="1" t="s">
        <v>13</v>
      </c>
      <c r="BO2" s="1" t="s">
        <v>9</v>
      </c>
      <c r="BP2" s="1" t="s">
        <v>6</v>
      </c>
      <c r="BQ2" s="1" t="s">
        <v>10</v>
      </c>
      <c r="BR2" s="1" t="s">
        <v>11</v>
      </c>
      <c r="BS2" s="1" t="s">
        <v>12</v>
      </c>
      <c r="BT2" s="1" t="s">
        <v>13</v>
      </c>
      <c r="BU2" s="1" t="s">
        <v>9</v>
      </c>
      <c r="BV2" s="1" t="s">
        <v>6</v>
      </c>
      <c r="BW2" s="1" t="s">
        <v>10</v>
      </c>
      <c r="BX2" s="1" t="s">
        <v>11</v>
      </c>
      <c r="BY2" s="1" t="s">
        <v>12</v>
      </c>
      <c r="BZ2" s="1" t="s">
        <v>13</v>
      </c>
      <c r="CA2" s="1" t="s">
        <v>9</v>
      </c>
      <c r="CB2" s="1" t="s">
        <v>6</v>
      </c>
      <c r="CC2" s="1" t="s">
        <v>10</v>
      </c>
      <c r="CD2" s="1" t="s">
        <v>11</v>
      </c>
      <c r="CE2" s="1" t="s">
        <v>12</v>
      </c>
      <c r="CF2" s="1" t="s">
        <v>13</v>
      </c>
      <c r="CG2" s="1" t="s">
        <v>9</v>
      </c>
      <c r="CH2" s="1" t="s">
        <v>6</v>
      </c>
      <c r="CI2" s="1" t="s">
        <v>10</v>
      </c>
      <c r="CJ2" s="1" t="s">
        <v>11</v>
      </c>
      <c r="CK2" s="1" t="s">
        <v>12</v>
      </c>
      <c r="CL2" s="1" t="s">
        <v>13</v>
      </c>
      <c r="CM2" s="1" t="s">
        <v>9</v>
      </c>
      <c r="CN2" s="1" t="s">
        <v>6</v>
      </c>
      <c r="CO2" s="1" t="s">
        <v>10</v>
      </c>
      <c r="CP2" s="1" t="s">
        <v>11</v>
      </c>
      <c r="CQ2" s="1" t="s">
        <v>12</v>
      </c>
      <c r="CR2" s="1" t="s">
        <v>13</v>
      </c>
      <c r="CS2" s="1" t="s">
        <v>9</v>
      </c>
      <c r="CT2" s="1" t="s">
        <v>6</v>
      </c>
      <c r="CU2" s="1" t="s">
        <v>10</v>
      </c>
      <c r="CV2" s="1" t="s">
        <v>11</v>
      </c>
      <c r="CW2" s="1" t="s">
        <v>12</v>
      </c>
      <c r="CX2" s="1" t="s">
        <v>13</v>
      </c>
      <c r="CY2" s="1" t="s">
        <v>9</v>
      </c>
      <c r="CZ2" s="1" t="s">
        <v>6</v>
      </c>
      <c r="DA2" s="1" t="s">
        <v>10</v>
      </c>
      <c r="DB2" s="1" t="s">
        <v>11</v>
      </c>
      <c r="DC2" s="1" t="s">
        <v>12</v>
      </c>
      <c r="DD2" s="1" t="s">
        <v>13</v>
      </c>
      <c r="DE2" s="1" t="s">
        <v>9</v>
      </c>
      <c r="DF2" s="1" t="s">
        <v>6</v>
      </c>
      <c r="DG2" s="1" t="s">
        <v>10</v>
      </c>
      <c r="DH2" s="1" t="s">
        <v>11</v>
      </c>
      <c r="DI2" s="1" t="s">
        <v>12</v>
      </c>
      <c r="DJ2" s="1" t="s">
        <v>13</v>
      </c>
      <c r="DK2" s="1" t="s">
        <v>9</v>
      </c>
      <c r="DL2" s="1" t="s">
        <v>6</v>
      </c>
      <c r="DM2" s="1" t="s">
        <v>10</v>
      </c>
      <c r="DN2" s="1" t="s">
        <v>11</v>
      </c>
      <c r="DO2" s="1" t="s">
        <v>12</v>
      </c>
      <c r="DP2" s="1" t="s">
        <v>13</v>
      </c>
      <c r="DQ2" s="1" t="s">
        <v>9</v>
      </c>
      <c r="DR2" s="1" t="s">
        <v>6</v>
      </c>
      <c r="DS2" s="1" t="s">
        <v>10</v>
      </c>
      <c r="DT2" s="1" t="s">
        <v>11</v>
      </c>
      <c r="DU2" s="1" t="s">
        <v>12</v>
      </c>
      <c r="DV2" s="1" t="s">
        <v>13</v>
      </c>
      <c r="DW2" s="1" t="s">
        <v>9</v>
      </c>
      <c r="DX2" s="1" t="s">
        <v>6</v>
      </c>
      <c r="DY2" s="1" t="s">
        <v>10</v>
      </c>
      <c r="DZ2" s="1" t="s">
        <v>11</v>
      </c>
      <c r="EA2" s="1" t="s">
        <v>12</v>
      </c>
      <c r="EB2" s="1" t="s">
        <v>13</v>
      </c>
      <c r="EC2" s="1" t="s">
        <v>9</v>
      </c>
      <c r="ED2" s="1" t="s">
        <v>6</v>
      </c>
      <c r="EE2" s="1" t="s">
        <v>10</v>
      </c>
      <c r="EF2" s="1" t="s">
        <v>11</v>
      </c>
      <c r="EG2" s="1" t="s">
        <v>12</v>
      </c>
      <c r="EH2" s="1" t="s">
        <v>13</v>
      </c>
      <c r="EI2" s="1" t="s">
        <v>9</v>
      </c>
      <c r="EJ2" s="1" t="s">
        <v>6</v>
      </c>
      <c r="EK2" s="1" t="s">
        <v>10</v>
      </c>
      <c r="EL2" s="1" t="s">
        <v>11</v>
      </c>
      <c r="EM2" s="1" t="s">
        <v>12</v>
      </c>
      <c r="EN2" s="1" t="s">
        <v>13</v>
      </c>
      <c r="EO2" s="1" t="s">
        <v>9</v>
      </c>
      <c r="EP2" s="1" t="s">
        <v>6</v>
      </c>
      <c r="EQ2" s="1" t="s">
        <v>10</v>
      </c>
      <c r="ER2" s="1" t="s">
        <v>11</v>
      </c>
      <c r="ES2" s="1" t="s">
        <v>12</v>
      </c>
      <c r="ET2" s="1" t="s">
        <v>13</v>
      </c>
      <c r="EU2" s="1" t="s">
        <v>9</v>
      </c>
      <c r="EV2" s="1" t="s">
        <v>6</v>
      </c>
      <c r="EW2" s="1" t="s">
        <v>10</v>
      </c>
      <c r="EX2" s="1" t="s">
        <v>11</v>
      </c>
      <c r="EY2" s="1" t="s">
        <v>12</v>
      </c>
      <c r="EZ2" s="1" t="s">
        <v>13</v>
      </c>
      <c r="FA2" s="1" t="s">
        <v>9</v>
      </c>
      <c r="FB2" s="1" t="s">
        <v>6</v>
      </c>
      <c r="FC2" s="1" t="s">
        <v>10</v>
      </c>
      <c r="FD2" s="1" t="s">
        <v>11</v>
      </c>
      <c r="FE2" s="1" t="s">
        <v>12</v>
      </c>
      <c r="FF2" s="1" t="s">
        <v>13</v>
      </c>
      <c r="FG2" s="1" t="s">
        <v>9</v>
      </c>
      <c r="FH2" s="1" t="s">
        <v>6</v>
      </c>
      <c r="FI2" s="1" t="s">
        <v>10</v>
      </c>
      <c r="FJ2" s="1" t="s">
        <v>11</v>
      </c>
      <c r="FK2" s="1" t="s">
        <v>12</v>
      </c>
      <c r="FL2" s="1" t="s">
        <v>13</v>
      </c>
      <c r="FM2" s="1" t="s">
        <v>9</v>
      </c>
      <c r="FN2" s="1" t="s">
        <v>6</v>
      </c>
      <c r="FO2" s="1" t="s">
        <v>10</v>
      </c>
      <c r="FP2" s="1" t="s">
        <v>11</v>
      </c>
      <c r="FQ2" s="1" t="s">
        <v>12</v>
      </c>
      <c r="FR2" s="1" t="s">
        <v>13</v>
      </c>
      <c r="FS2" s="1" t="s">
        <v>9</v>
      </c>
      <c r="FT2" s="1" t="s">
        <v>6</v>
      </c>
      <c r="FU2" s="1" t="s">
        <v>10</v>
      </c>
      <c r="FV2" s="1" t="s">
        <v>11</v>
      </c>
      <c r="FW2" s="1" t="s">
        <v>12</v>
      </c>
      <c r="FX2" s="1" t="s">
        <v>13</v>
      </c>
      <c r="FY2" s="1" t="s">
        <v>9</v>
      </c>
      <c r="FZ2" s="1" t="s">
        <v>6</v>
      </c>
      <c r="GA2" s="1" t="s">
        <v>10</v>
      </c>
      <c r="GB2" s="1" t="s">
        <v>11</v>
      </c>
      <c r="GC2" s="1" t="s">
        <v>12</v>
      </c>
      <c r="GD2" s="1" t="s">
        <v>13</v>
      </c>
      <c r="GE2" s="1" t="s">
        <v>9</v>
      </c>
      <c r="GF2" s="1" t="s">
        <v>6</v>
      </c>
      <c r="GG2" s="1" t="s">
        <v>10</v>
      </c>
      <c r="GH2" s="1" t="s">
        <v>11</v>
      </c>
      <c r="GI2" s="1" t="s">
        <v>12</v>
      </c>
      <c r="GJ2" s="1" t="s">
        <v>13</v>
      </c>
      <c r="GK2" s="1" t="s">
        <v>9</v>
      </c>
      <c r="GL2" s="1" t="s">
        <v>6</v>
      </c>
      <c r="GM2" s="1" t="s">
        <v>10</v>
      </c>
      <c r="GN2" s="1" t="s">
        <v>11</v>
      </c>
      <c r="GO2" s="1" t="s">
        <v>12</v>
      </c>
      <c r="GP2" s="1" t="s">
        <v>13</v>
      </c>
      <c r="GQ2" s="1" t="s">
        <v>9</v>
      </c>
      <c r="GR2" s="1" t="s">
        <v>6</v>
      </c>
      <c r="GS2" s="1" t="s">
        <v>10</v>
      </c>
      <c r="GT2" s="1" t="s">
        <v>11</v>
      </c>
      <c r="GU2" s="1" t="s">
        <v>12</v>
      </c>
      <c r="GV2" s="1" t="s">
        <v>13</v>
      </c>
      <c r="GW2" s="1" t="s">
        <v>9</v>
      </c>
      <c r="GX2" s="1" t="s">
        <v>6</v>
      </c>
      <c r="GY2" s="1" t="s">
        <v>10</v>
      </c>
      <c r="GZ2" s="1" t="s">
        <v>11</v>
      </c>
      <c r="HA2" s="1" t="s">
        <v>12</v>
      </c>
      <c r="HB2" s="1" t="s">
        <v>13</v>
      </c>
      <c r="HC2" s="1" t="s">
        <v>9</v>
      </c>
      <c r="HD2" s="1" t="s">
        <v>6</v>
      </c>
      <c r="HE2" s="1" t="s">
        <v>10</v>
      </c>
      <c r="HF2" s="1" t="s">
        <v>11</v>
      </c>
      <c r="HG2" s="1" t="s">
        <v>12</v>
      </c>
      <c r="HH2" s="1" t="s">
        <v>13</v>
      </c>
      <c r="HI2" s="1" t="s">
        <v>9</v>
      </c>
      <c r="HJ2" s="1" t="s">
        <v>6</v>
      </c>
      <c r="HK2" s="1" t="s">
        <v>10</v>
      </c>
      <c r="HL2" s="1" t="s">
        <v>11</v>
      </c>
      <c r="HM2" s="1" t="s">
        <v>12</v>
      </c>
      <c r="HN2" s="1" t="s">
        <v>13</v>
      </c>
      <c r="HO2" s="1" t="s">
        <v>9</v>
      </c>
      <c r="HP2" s="1" t="s">
        <v>6</v>
      </c>
      <c r="HQ2" s="1" t="s">
        <v>10</v>
      </c>
      <c r="HR2" s="1" t="s">
        <v>11</v>
      </c>
      <c r="HS2" s="1" t="s">
        <v>12</v>
      </c>
      <c r="HT2" s="1" t="s">
        <v>13</v>
      </c>
      <c r="HU2" s="1" t="s">
        <v>9</v>
      </c>
      <c r="HV2" s="1" t="s">
        <v>6</v>
      </c>
      <c r="HW2" s="1" t="s">
        <v>10</v>
      </c>
      <c r="HX2" s="1" t="s">
        <v>11</v>
      </c>
      <c r="HY2" s="1" t="s">
        <v>12</v>
      </c>
      <c r="HZ2" s="1" t="s">
        <v>13</v>
      </c>
      <c r="IA2" s="1" t="s">
        <v>9</v>
      </c>
      <c r="IB2" s="1" t="s">
        <v>6</v>
      </c>
      <c r="IC2" s="1" t="s">
        <v>10</v>
      </c>
      <c r="ID2" s="1" t="s">
        <v>11</v>
      </c>
      <c r="IE2" s="1" t="s">
        <v>12</v>
      </c>
      <c r="IF2" s="1" t="s">
        <v>13</v>
      </c>
      <c r="IG2" s="1" t="s">
        <v>9</v>
      </c>
      <c r="IH2" s="1" t="s">
        <v>6</v>
      </c>
      <c r="II2" s="1" t="s">
        <v>10</v>
      </c>
      <c r="IJ2" s="1" t="s">
        <v>11</v>
      </c>
      <c r="IK2" s="1" t="s">
        <v>12</v>
      </c>
      <c r="IL2" s="1" t="s">
        <v>13</v>
      </c>
      <c r="IM2" s="1" t="s">
        <v>9</v>
      </c>
      <c r="IN2" s="1" t="s">
        <v>6</v>
      </c>
      <c r="IO2" s="1" t="s">
        <v>10</v>
      </c>
      <c r="IP2" s="1" t="s">
        <v>11</v>
      </c>
      <c r="IQ2" s="1" t="s">
        <v>12</v>
      </c>
      <c r="IR2" s="1" t="s">
        <v>13</v>
      </c>
      <c r="IS2" s="1" t="s">
        <v>9</v>
      </c>
      <c r="IT2" s="1" t="s">
        <v>6</v>
      </c>
      <c r="IU2" s="1" t="s">
        <v>10</v>
      </c>
      <c r="IV2" s="1" t="s">
        <v>11</v>
      </c>
      <c r="IW2" s="1" t="s">
        <v>12</v>
      </c>
      <c r="IX2" s="1" t="s">
        <v>13</v>
      </c>
      <c r="IY2" s="1" t="s">
        <v>9</v>
      </c>
      <c r="IZ2" s="1" t="s">
        <v>6</v>
      </c>
      <c r="JA2" s="1" t="s">
        <v>10</v>
      </c>
      <c r="JB2" s="1" t="s">
        <v>11</v>
      </c>
      <c r="JC2" s="1" t="s">
        <v>12</v>
      </c>
      <c r="JD2" s="1" t="s">
        <v>13</v>
      </c>
      <c r="JE2" s="1" t="s">
        <v>9</v>
      </c>
      <c r="JF2" s="1" t="s">
        <v>6</v>
      </c>
      <c r="JG2" s="1" t="s">
        <v>10</v>
      </c>
      <c r="JH2" s="1" t="s">
        <v>11</v>
      </c>
      <c r="JI2" s="1" t="s">
        <v>12</v>
      </c>
      <c r="JJ2" s="1" t="s">
        <v>13</v>
      </c>
      <c r="JK2" s="1" t="s">
        <v>9</v>
      </c>
      <c r="JL2" s="1" t="s">
        <v>6</v>
      </c>
      <c r="JM2" s="1" t="s">
        <v>10</v>
      </c>
      <c r="JN2" s="1" t="s">
        <v>11</v>
      </c>
      <c r="JO2" s="1" t="s">
        <v>12</v>
      </c>
      <c r="JP2" s="1" t="s">
        <v>13</v>
      </c>
      <c r="JQ2" s="1" t="s">
        <v>9</v>
      </c>
      <c r="JR2" s="1" t="s">
        <v>6</v>
      </c>
      <c r="JS2" s="1" t="s">
        <v>10</v>
      </c>
      <c r="JT2" s="1" t="s">
        <v>11</v>
      </c>
      <c r="JU2" s="1" t="s">
        <v>12</v>
      </c>
      <c r="JV2" s="1" t="s">
        <v>13</v>
      </c>
      <c r="JW2" s="1" t="s">
        <v>9</v>
      </c>
      <c r="JX2" s="1" t="s">
        <v>6</v>
      </c>
      <c r="JY2" s="1" t="s">
        <v>10</v>
      </c>
      <c r="JZ2" s="1" t="s">
        <v>11</v>
      </c>
      <c r="KA2" s="1" t="s">
        <v>12</v>
      </c>
      <c r="KB2" s="1" t="s">
        <v>13</v>
      </c>
      <c r="KC2" s="1" t="s">
        <v>9</v>
      </c>
      <c r="KD2" s="1" t="s">
        <v>6</v>
      </c>
      <c r="KE2" s="1" t="s">
        <v>10</v>
      </c>
      <c r="KF2" s="1" t="s">
        <v>11</v>
      </c>
      <c r="KG2" s="1" t="s">
        <v>12</v>
      </c>
      <c r="KH2" s="1" t="s">
        <v>13</v>
      </c>
      <c r="KI2" s="1" t="s">
        <v>9</v>
      </c>
      <c r="KJ2" s="1" t="s">
        <v>6</v>
      </c>
      <c r="KK2" s="1" t="s">
        <v>10</v>
      </c>
      <c r="KL2" s="1" t="s">
        <v>11</v>
      </c>
      <c r="KM2" s="1" t="s">
        <v>12</v>
      </c>
      <c r="KN2" s="1" t="s">
        <v>13</v>
      </c>
      <c r="KO2" s="1" t="s">
        <v>9</v>
      </c>
      <c r="KP2" s="1" t="s">
        <v>6</v>
      </c>
      <c r="KQ2" s="1" t="s">
        <v>10</v>
      </c>
      <c r="KR2" s="1" t="s">
        <v>11</v>
      </c>
      <c r="KS2" s="1" t="s">
        <v>12</v>
      </c>
      <c r="KT2" s="1" t="s">
        <v>13</v>
      </c>
      <c r="KU2" s="1" t="s">
        <v>9</v>
      </c>
      <c r="KV2" s="1" t="s">
        <v>6</v>
      </c>
      <c r="KW2" s="1" t="s">
        <v>10</v>
      </c>
      <c r="KX2" s="1" t="s">
        <v>11</v>
      </c>
      <c r="KY2" s="1" t="s">
        <v>12</v>
      </c>
      <c r="KZ2" s="1" t="s">
        <v>13</v>
      </c>
      <c r="LA2" s="1" t="s">
        <v>9</v>
      </c>
      <c r="LB2" s="1" t="s">
        <v>6</v>
      </c>
      <c r="LC2" s="1" t="s">
        <v>10</v>
      </c>
      <c r="LD2" s="1" t="s">
        <v>11</v>
      </c>
      <c r="LE2" s="1" t="s">
        <v>12</v>
      </c>
      <c r="LF2" s="1" t="s">
        <v>13</v>
      </c>
      <c r="LG2" s="1" t="s">
        <v>9</v>
      </c>
      <c r="LH2" s="1" t="s">
        <v>6</v>
      </c>
      <c r="LI2" s="1" t="s">
        <v>10</v>
      </c>
      <c r="LJ2" s="1" t="s">
        <v>11</v>
      </c>
      <c r="LK2" s="1" t="s">
        <v>12</v>
      </c>
      <c r="LL2" s="1" t="s">
        <v>13</v>
      </c>
    </row>
    <row r="3" spans="1:324" x14ac:dyDescent="0.3">
      <c r="A3" s="3" t="s">
        <v>14</v>
      </c>
      <c r="B3" s="3" t="s">
        <v>15</v>
      </c>
      <c r="C3" s="3" t="s">
        <v>16</v>
      </c>
      <c r="D3" s="3">
        <f>ROUNDDOWN((2325000/F1)*H1,0)</f>
        <v>2331</v>
      </c>
      <c r="E3" s="3">
        <v>9</v>
      </c>
      <c r="F3" s="3">
        <v>7</v>
      </c>
      <c r="G3" s="3">
        <v>1</v>
      </c>
      <c r="H3" s="3">
        <f>ROUNDDOWN((116949+211825+301)/F1*H1,0)</f>
        <v>330</v>
      </c>
      <c r="I3" s="3" t="s">
        <v>17</v>
      </c>
      <c r="J3" s="3" t="s">
        <v>18</v>
      </c>
      <c r="K3" s="3">
        <v>0.35499999999999998</v>
      </c>
      <c r="L3" s="3">
        <v>0.64300000000000002</v>
      </c>
      <c r="M3" s="3">
        <v>2</v>
      </c>
      <c r="N3" s="3">
        <f>ROUNDDOWN((105286+197996+287)/F1*H1,0)</f>
        <v>304</v>
      </c>
      <c r="O3" s="3" t="s">
        <v>19</v>
      </c>
      <c r="P3" s="3" t="s">
        <v>20</v>
      </c>
      <c r="Q3" s="3">
        <v>0.34599999999999997</v>
      </c>
      <c r="R3" s="3">
        <v>0.65200000000000002</v>
      </c>
      <c r="S3" s="3">
        <v>3</v>
      </c>
      <c r="T3" s="3">
        <f>ROUNDDOWN(322234/F1*H1,0)</f>
        <v>323</v>
      </c>
      <c r="U3" s="3" t="s">
        <v>21</v>
      </c>
      <c r="V3" s="3" t="s">
        <v>22</v>
      </c>
      <c r="W3" s="3">
        <v>0.32400000000000001</v>
      </c>
      <c r="X3" s="3">
        <v>0.67400000000000004</v>
      </c>
      <c r="Y3" s="3">
        <v>4</v>
      </c>
      <c r="Z3" s="3">
        <f>ROUNDDOWN(318029/F1*H1,0)</f>
        <v>318</v>
      </c>
      <c r="AA3" s="3" t="s">
        <v>23</v>
      </c>
      <c r="AB3" s="3" t="s">
        <v>24</v>
      </c>
      <c r="AC3" s="3">
        <v>0.17599999999999999</v>
      </c>
      <c r="AD3" s="3">
        <v>0.82199999999999995</v>
      </c>
      <c r="AE3" s="3">
        <v>5</v>
      </c>
      <c r="AF3" s="3">
        <f>ROUNDDOWN(264160/F1*H1,0)</f>
        <v>264</v>
      </c>
      <c r="AG3" s="3" t="s">
        <v>25</v>
      </c>
      <c r="AH3" s="3" t="s">
        <v>26</v>
      </c>
      <c r="AI3" s="3">
        <v>0</v>
      </c>
      <c r="AJ3" s="3">
        <v>0.95799999999999996</v>
      </c>
      <c r="AK3" s="3">
        <v>6</v>
      </c>
      <c r="AL3" s="3">
        <f>ROUNDDOWN(282261/F1*H1,0)</f>
        <v>283</v>
      </c>
      <c r="AM3" s="3" t="s">
        <v>25</v>
      </c>
      <c r="AN3" s="3" t="s">
        <v>27</v>
      </c>
      <c r="AO3" s="3">
        <v>0</v>
      </c>
      <c r="AP3" s="3">
        <v>0.97099999999999997</v>
      </c>
      <c r="AQ3" s="3">
        <v>7</v>
      </c>
      <c r="AR3" s="3">
        <f>ROUNDDOWN(232331/F1*H1,0)</f>
        <v>232</v>
      </c>
      <c r="AS3" s="3" t="s">
        <v>28</v>
      </c>
      <c r="AT3" s="3" t="s">
        <v>25</v>
      </c>
      <c r="AU3" s="3">
        <v>0.97099999999999997</v>
      </c>
      <c r="AV3" s="3">
        <v>0</v>
      </c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</row>
    <row r="4" spans="1:324" x14ac:dyDescent="0.3">
      <c r="A4" s="3" t="s">
        <v>29</v>
      </c>
      <c r="B4" s="3" t="s">
        <v>30</v>
      </c>
      <c r="C4" s="3" t="s">
        <v>31</v>
      </c>
      <c r="D4" s="3">
        <f>ROUNDDOWN(361400/F1*H1,0)</f>
        <v>362</v>
      </c>
      <c r="E4" s="3">
        <v>3</v>
      </c>
      <c r="F4" s="3">
        <v>1</v>
      </c>
      <c r="G4" s="3">
        <v>1</v>
      </c>
      <c r="H4" s="3">
        <f>ROUNDDOWN(353165/F1*H1,0)</f>
        <v>354</v>
      </c>
      <c r="I4" s="3" t="s">
        <v>32</v>
      </c>
      <c r="J4" s="3" t="s">
        <v>33</v>
      </c>
      <c r="K4" s="3">
        <v>0.45200000000000001</v>
      </c>
      <c r="L4" s="3">
        <v>0.54400000000000004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</row>
    <row r="5" spans="1:324" x14ac:dyDescent="0.3">
      <c r="A5" s="3" t="s">
        <v>34</v>
      </c>
      <c r="B5" s="3" t="s">
        <v>35</v>
      </c>
      <c r="C5" s="3" t="s">
        <v>36</v>
      </c>
      <c r="D5" s="3">
        <f>ROUNDDOWN(3420565/F1*H1,0)</f>
        <v>3430</v>
      </c>
      <c r="E5" s="3">
        <v>11</v>
      </c>
      <c r="F5" s="3">
        <v>9</v>
      </c>
      <c r="G5" s="3">
        <v>1</v>
      </c>
      <c r="H5" s="3">
        <f>ROUNDDOWN(365178/F1*H1,0)</f>
        <v>366</v>
      </c>
      <c r="I5" s="3" t="s">
        <v>37</v>
      </c>
      <c r="J5" s="3" t="s">
        <v>38</v>
      </c>
      <c r="K5" s="3">
        <v>0.51600000000000001</v>
      </c>
      <c r="L5" s="3">
        <v>0.48299999999999998</v>
      </c>
      <c r="M5" s="3">
        <v>2</v>
      </c>
      <c r="N5" s="3">
        <f>ROUNDDOWN(380920/F1*H1,0)</f>
        <v>382</v>
      </c>
      <c r="O5" s="3" t="s">
        <v>39</v>
      </c>
      <c r="P5" s="3" t="s">
        <v>40</v>
      </c>
      <c r="Q5" s="3">
        <v>0.55100000000000005</v>
      </c>
      <c r="R5" s="3">
        <v>0.44800000000000001</v>
      </c>
      <c r="S5" s="3">
        <v>3</v>
      </c>
      <c r="T5" s="3">
        <f>ROUNDDOWN(269837/F1*H1,0)</f>
        <v>270</v>
      </c>
      <c r="U5" s="3" t="s">
        <v>41</v>
      </c>
      <c r="V5" s="3" t="s">
        <v>42</v>
      </c>
      <c r="W5" s="3">
        <v>0.64500000000000002</v>
      </c>
      <c r="X5" s="3">
        <v>0.35399999999999998</v>
      </c>
      <c r="Y5" s="3">
        <v>4</v>
      </c>
      <c r="Z5" s="3">
        <f>ROUNDDOWN(398486/F1*H1,0)</f>
        <v>399</v>
      </c>
      <c r="AA5" s="3" t="s">
        <v>43</v>
      </c>
      <c r="AB5" s="3" t="s">
        <v>44</v>
      </c>
      <c r="AC5" s="3">
        <v>0.30199999999999999</v>
      </c>
      <c r="AD5" s="3">
        <v>0.69699999999999995</v>
      </c>
      <c r="AE5" s="3">
        <v>5</v>
      </c>
      <c r="AF5" s="3">
        <f>ROUNDDOWN(445585/F1*H1,0)</f>
        <v>446</v>
      </c>
      <c r="AG5" s="3" t="s">
        <v>45</v>
      </c>
      <c r="AH5" s="3" t="s">
        <v>46</v>
      </c>
      <c r="AI5" s="3">
        <v>0.41099999999999998</v>
      </c>
      <c r="AJ5" s="3">
        <v>0.58799999999999997</v>
      </c>
      <c r="AK5" s="3">
        <v>6</v>
      </c>
      <c r="AL5" s="3">
        <f>ROUNDDOWN(417427/F1*H1,0)</f>
        <v>418</v>
      </c>
      <c r="AM5" s="3" t="s">
        <v>47</v>
      </c>
      <c r="AN5" s="3" t="s">
        <v>48</v>
      </c>
      <c r="AO5" s="3">
        <v>0.47799999999999998</v>
      </c>
      <c r="AP5" s="3">
        <v>0.52100000000000002</v>
      </c>
      <c r="AQ5" s="3">
        <v>7</v>
      </c>
      <c r="AR5" s="3">
        <f>ROUNDDOWN(215678/F1*H1,0)</f>
        <v>216</v>
      </c>
      <c r="AS5" s="3" t="s">
        <v>49</v>
      </c>
      <c r="AT5" s="3" t="s">
        <v>50</v>
      </c>
      <c r="AU5" s="3">
        <v>0.77600000000000002</v>
      </c>
      <c r="AV5" s="3">
        <v>0.23200000000000001</v>
      </c>
      <c r="AW5" s="3">
        <v>8</v>
      </c>
      <c r="AX5" s="3">
        <f>ROUNDDOWN(422449/F1*H1,0)</f>
        <v>423</v>
      </c>
      <c r="AY5" s="3" t="s">
        <v>51</v>
      </c>
      <c r="AZ5" s="3" t="s">
        <v>52</v>
      </c>
      <c r="BA5" s="3">
        <v>0.40400000000000003</v>
      </c>
      <c r="BB5" s="3">
        <v>0.59499999999999997</v>
      </c>
      <c r="BC5" s="3">
        <v>9</v>
      </c>
      <c r="BD5" s="3">
        <f>ROUNDDOWN(352274/F1*H1,0)</f>
        <v>353</v>
      </c>
      <c r="BE5" s="3" t="s">
        <v>53</v>
      </c>
      <c r="BF5" s="3" t="s">
        <v>54</v>
      </c>
      <c r="BG5" s="3">
        <v>0.61599999999999999</v>
      </c>
      <c r="BH5" s="3">
        <v>0.38300000000000001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</row>
    <row r="6" spans="1:324" x14ac:dyDescent="0.3">
      <c r="A6" s="3" t="s">
        <v>55</v>
      </c>
      <c r="B6" s="3" t="s">
        <v>56</v>
      </c>
      <c r="C6" s="3" t="s">
        <v>57</v>
      </c>
      <c r="D6" s="3">
        <f>ROUNDDOWN(1223675/F1*H1,0)</f>
        <v>1227</v>
      </c>
      <c r="E6" s="3">
        <v>6</v>
      </c>
      <c r="F6" s="3">
        <v>4</v>
      </c>
      <c r="G6" s="3">
        <v>1</v>
      </c>
      <c r="H6" s="3">
        <f>ROUNDDOWN(237596/F1*H1,0)</f>
        <v>238</v>
      </c>
      <c r="I6" s="3" t="s">
        <v>25</v>
      </c>
      <c r="J6" s="3" t="s">
        <v>58</v>
      </c>
      <c r="K6" s="3">
        <v>0</v>
      </c>
      <c r="L6" s="3">
        <v>1</v>
      </c>
      <c r="M6" s="3">
        <v>2</v>
      </c>
      <c r="N6" s="3">
        <f>ROUNDDOWN(332503/F1*H1,0)</f>
        <v>333</v>
      </c>
      <c r="O6" s="3" t="s">
        <v>59</v>
      </c>
      <c r="P6" s="3" t="s">
        <v>60</v>
      </c>
      <c r="Q6" s="3">
        <v>0.44600000000000001</v>
      </c>
      <c r="R6" s="3">
        <v>0.55300000000000005</v>
      </c>
      <c r="S6" s="3">
        <v>3</v>
      </c>
      <c r="T6" s="3">
        <v>334</v>
      </c>
      <c r="U6" s="3" t="s">
        <v>61</v>
      </c>
      <c r="V6" s="3" t="s">
        <v>62</v>
      </c>
      <c r="W6" s="3">
        <v>0.318</v>
      </c>
      <c r="X6" s="3">
        <v>0.64300000000000002</v>
      </c>
      <c r="Y6" s="3">
        <v>4</v>
      </c>
      <c r="Z6" s="3">
        <f>ROUNDDOWN(275035/F1*H1,0)</f>
        <v>275</v>
      </c>
      <c r="AA6" s="3" t="s">
        <v>63</v>
      </c>
      <c r="AB6" s="3" t="s">
        <v>64</v>
      </c>
      <c r="AC6" s="3">
        <v>0.27500000000000002</v>
      </c>
      <c r="AD6" s="3">
        <v>0.69599999999999995</v>
      </c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</row>
    <row r="7" spans="1:324" x14ac:dyDescent="0.3">
      <c r="A7" s="4" t="s">
        <v>65</v>
      </c>
      <c r="B7" s="3" t="s">
        <v>25</v>
      </c>
      <c r="C7" s="3" t="s">
        <v>25</v>
      </c>
      <c r="D7" s="3">
        <f>ROUNDDOWN(17790000/F1*H1,0)</f>
        <v>17840</v>
      </c>
      <c r="E7" s="3">
        <v>55</v>
      </c>
      <c r="F7" s="3">
        <v>53</v>
      </c>
      <c r="G7" s="3">
        <v>1</v>
      </c>
      <c r="H7" s="3">
        <f>ROUNDDOWN(358263/F1*H1,0)</f>
        <v>359</v>
      </c>
      <c r="I7" s="3" t="s">
        <v>66</v>
      </c>
      <c r="J7" s="3" t="s">
        <v>67</v>
      </c>
      <c r="K7" s="3">
        <v>0.43</v>
      </c>
      <c r="L7" s="3">
        <v>0.56999999999999995</v>
      </c>
      <c r="M7" s="3">
        <v>2</v>
      </c>
      <c r="N7" s="5">
        <f>ROUNDDOWN(388755/F1*H1,0)</f>
        <v>389</v>
      </c>
      <c r="O7" s="3" t="s">
        <v>68</v>
      </c>
      <c r="P7" s="3" t="s">
        <v>69</v>
      </c>
      <c r="Q7" s="3">
        <v>0.75700000000000001</v>
      </c>
      <c r="R7" s="3">
        <v>0.24299999999999999</v>
      </c>
      <c r="S7" s="3">
        <v>3</v>
      </c>
      <c r="T7" s="5">
        <f>ROUNDDOWN(321977/F1*H1,0)</f>
        <v>322</v>
      </c>
      <c r="U7" s="3" t="s">
        <v>70</v>
      </c>
      <c r="V7" s="3" t="s">
        <v>71</v>
      </c>
      <c r="W7" s="3">
        <v>0.54700000000000004</v>
      </c>
      <c r="X7" s="3">
        <v>0.45300000000000001</v>
      </c>
      <c r="Y7" s="3">
        <v>4</v>
      </c>
      <c r="Z7" s="5">
        <f>ROUNDDOWN(442522/F1*H1,0)</f>
        <v>443</v>
      </c>
      <c r="AA7" s="3" t="s">
        <v>72</v>
      </c>
      <c r="AB7" s="3" t="s">
        <v>73</v>
      </c>
      <c r="AC7" s="3">
        <v>0.441</v>
      </c>
      <c r="AD7" s="3">
        <v>0.55900000000000005</v>
      </c>
      <c r="AE7" s="3">
        <v>5</v>
      </c>
      <c r="AF7" s="5">
        <f>ROUNDDOWN(329460/F1*H1,0)</f>
        <v>330</v>
      </c>
      <c r="AG7" s="3" t="s">
        <v>74</v>
      </c>
      <c r="AH7" s="3" t="s">
        <v>75</v>
      </c>
      <c r="AI7" s="3">
        <v>0.76100000000000001</v>
      </c>
      <c r="AJ7" s="3">
        <v>0.23899999999999999</v>
      </c>
      <c r="AK7" s="3">
        <v>6</v>
      </c>
      <c r="AL7" s="5">
        <f>ROUNDDOWN(313114/F1*H1,0)</f>
        <v>314</v>
      </c>
      <c r="AM7" s="3" t="s">
        <v>76</v>
      </c>
      <c r="AN7" s="3" t="s">
        <v>77</v>
      </c>
      <c r="AO7" s="3">
        <v>0.73299999999999998</v>
      </c>
      <c r="AP7" s="3">
        <v>0.26700000000000002</v>
      </c>
      <c r="AQ7" s="3">
        <v>7</v>
      </c>
      <c r="AR7" s="5">
        <f>ROUNDDOWN(383965/F1*H1,0)</f>
        <v>385</v>
      </c>
      <c r="AS7" s="3" t="s">
        <v>78</v>
      </c>
      <c r="AT7" s="3" t="s">
        <v>79</v>
      </c>
      <c r="AU7" s="3">
        <v>0.56599999999999995</v>
      </c>
      <c r="AV7" s="3">
        <v>0.434</v>
      </c>
      <c r="AW7" s="3">
        <v>8</v>
      </c>
      <c r="AX7" s="5">
        <f>ROUNDDOWN(283111/F1*H1,0)</f>
        <v>283</v>
      </c>
      <c r="AY7" s="3" t="s">
        <v>80</v>
      </c>
      <c r="AZ7" s="3" t="s">
        <v>81</v>
      </c>
      <c r="BA7" s="3">
        <v>0.439</v>
      </c>
      <c r="BB7" s="3">
        <v>0.56100000000000005</v>
      </c>
      <c r="BC7" s="3">
        <v>9</v>
      </c>
      <c r="BD7" s="5">
        <f>ROUNDDOWN(302610/F1*H1,0)</f>
        <v>303</v>
      </c>
      <c r="BE7" s="3" t="s">
        <v>82</v>
      </c>
      <c r="BF7" s="3" t="s">
        <v>83</v>
      </c>
      <c r="BG7" s="3">
        <v>0.57599999999999996</v>
      </c>
      <c r="BH7" s="3">
        <v>0.42399999999999999</v>
      </c>
      <c r="BI7" s="3">
        <v>10</v>
      </c>
      <c r="BJ7" s="5">
        <f>ROUNDDOWN(302494/F1*H1,0)</f>
        <v>303</v>
      </c>
      <c r="BK7" s="3" t="s">
        <v>84</v>
      </c>
      <c r="BL7" s="3" t="s">
        <v>85</v>
      </c>
      <c r="BM7" s="3">
        <v>0.55200000000000005</v>
      </c>
      <c r="BN7" s="3">
        <v>0.44800000000000001</v>
      </c>
      <c r="BO7" s="3">
        <v>11</v>
      </c>
      <c r="BP7" s="5">
        <f>ROUNDDOWN(371396/F1*H1,0)</f>
        <v>372</v>
      </c>
      <c r="BQ7" s="3" t="s">
        <v>86</v>
      </c>
      <c r="BR7" s="3" t="s">
        <v>87</v>
      </c>
      <c r="BS7" s="3">
        <v>0.73</v>
      </c>
      <c r="BT7" s="3">
        <v>0.27</v>
      </c>
      <c r="BU7" s="3">
        <v>12</v>
      </c>
      <c r="BV7" s="5">
        <f>ROUNDDOWN(362950/F1*H1,0)</f>
        <v>363</v>
      </c>
      <c r="BW7" s="3" t="s">
        <v>88</v>
      </c>
      <c r="BX7" s="3" t="s">
        <v>89</v>
      </c>
      <c r="BY7" s="3">
        <v>0.77600000000000002</v>
      </c>
      <c r="BZ7" s="3">
        <v>0.224</v>
      </c>
      <c r="CA7" s="3">
        <v>13</v>
      </c>
      <c r="CB7" s="5">
        <f>ROUNDDOWN(362818/F1*H1,0)</f>
        <v>363</v>
      </c>
      <c r="CC7" s="3" t="s">
        <v>90</v>
      </c>
      <c r="CD7" s="3" t="s">
        <v>91</v>
      </c>
      <c r="CE7" s="3">
        <v>0.90400000000000003</v>
      </c>
      <c r="CF7" s="3">
        <v>9.6000000000000002E-2</v>
      </c>
      <c r="CG7" s="3">
        <v>14</v>
      </c>
      <c r="CH7" s="5">
        <f>ROUNDDOWN(350911/F1*H1,0)</f>
        <v>351</v>
      </c>
      <c r="CI7" s="3" t="s">
        <v>92</v>
      </c>
      <c r="CJ7" s="3" t="s">
        <v>93</v>
      </c>
      <c r="CK7" s="3">
        <v>0.79300000000000004</v>
      </c>
      <c r="CL7" s="3">
        <v>0.20699999999999999</v>
      </c>
      <c r="CM7" s="3">
        <v>15</v>
      </c>
      <c r="CN7" s="5">
        <f>ROUNDDOWN(342701/F1*H1,0)</f>
        <v>343</v>
      </c>
      <c r="CO7" s="3" t="s">
        <v>94</v>
      </c>
      <c r="CP7" s="3" t="s">
        <v>95</v>
      </c>
      <c r="CQ7" s="3">
        <v>0.70899999999999996</v>
      </c>
      <c r="CR7" s="3">
        <v>0.29099999999999998</v>
      </c>
      <c r="CS7" s="5">
        <v>16</v>
      </c>
      <c r="CT7" s="5">
        <f>ROUNDDOWN(216729/F1*H1,0)</f>
        <v>217</v>
      </c>
      <c r="CU7" s="3" t="s">
        <v>96</v>
      </c>
      <c r="CV7" s="3" t="s">
        <v>97</v>
      </c>
      <c r="CW7" s="3">
        <v>0.59399999999999997</v>
      </c>
      <c r="CX7" s="3">
        <v>0.40600000000000003</v>
      </c>
      <c r="CY7" s="3">
        <v>17</v>
      </c>
      <c r="CZ7" s="5">
        <f>ROUNDDOWN(297336/F1*H1,0)</f>
        <v>298</v>
      </c>
      <c r="DA7" s="3" t="s">
        <v>98</v>
      </c>
      <c r="DB7" s="3" t="s">
        <v>99</v>
      </c>
      <c r="DC7" s="3">
        <v>0.71299999999999997</v>
      </c>
      <c r="DD7">
        <v>0.28699999999999998</v>
      </c>
      <c r="DE7">
        <v>18</v>
      </c>
      <c r="DF7" s="5">
        <f>ROUNDDOWN(344127/F1*H1,0)</f>
        <v>345</v>
      </c>
      <c r="DG7" t="s">
        <v>100</v>
      </c>
      <c r="DH7" t="s">
        <v>101</v>
      </c>
      <c r="DI7">
        <v>0.63200000000000001</v>
      </c>
      <c r="DJ7">
        <v>0.36799999999999999</v>
      </c>
      <c r="DK7">
        <v>19</v>
      </c>
      <c r="DL7" s="5">
        <f>ROUNDDOWN(313027/F1*H1,0)</f>
        <v>313</v>
      </c>
      <c r="DM7" t="s">
        <v>102</v>
      </c>
      <c r="DN7" t="s">
        <v>103</v>
      </c>
      <c r="DO7">
        <v>0.71699999999999997</v>
      </c>
      <c r="DP7">
        <v>0.28299999999999997</v>
      </c>
      <c r="DQ7">
        <v>20</v>
      </c>
      <c r="DR7" s="5">
        <f>ROUNDDOWN(308554/F1*H1,0)</f>
        <v>309</v>
      </c>
      <c r="DS7" t="s">
        <v>104</v>
      </c>
      <c r="DT7" t="s">
        <v>105</v>
      </c>
      <c r="DU7">
        <v>0.76800000000000002</v>
      </c>
      <c r="DV7">
        <v>0.23200000000000001</v>
      </c>
      <c r="DW7">
        <v>21</v>
      </c>
      <c r="DX7" s="5">
        <f>ROUNDDOWN(170334/F1*H1,0)</f>
        <v>170</v>
      </c>
      <c r="DY7" t="s">
        <v>106</v>
      </c>
      <c r="DZ7" t="s">
        <v>107</v>
      </c>
      <c r="EA7">
        <v>0.496</v>
      </c>
      <c r="EB7">
        <v>0.504</v>
      </c>
      <c r="EC7">
        <v>22</v>
      </c>
      <c r="ED7" s="6">
        <f>ROUNDDOWN(315139/F1*H1,0)</f>
        <v>316</v>
      </c>
      <c r="EE7" t="s">
        <v>108</v>
      </c>
      <c r="EF7" t="s">
        <v>109</v>
      </c>
      <c r="EG7">
        <v>0.54200000000000004</v>
      </c>
      <c r="EH7">
        <v>0.45800000000000002</v>
      </c>
      <c r="EI7">
        <v>23</v>
      </c>
      <c r="EJ7">
        <f>ROUNDDOWN(306118/F1*H1,0)</f>
        <v>306</v>
      </c>
      <c r="EK7" t="s">
        <v>110</v>
      </c>
      <c r="EL7" t="s">
        <v>111</v>
      </c>
      <c r="EM7">
        <v>0.379</v>
      </c>
      <c r="EN7">
        <v>0.621</v>
      </c>
      <c r="EO7">
        <v>24</v>
      </c>
      <c r="EP7" s="6">
        <f>ROUNDDOWN(362345/F1*H1,0)</f>
        <v>363</v>
      </c>
      <c r="EQ7" t="s">
        <v>112</v>
      </c>
      <c r="ER7" t="s">
        <v>113</v>
      </c>
      <c r="ES7">
        <v>0.58699999999999997</v>
      </c>
      <c r="ET7">
        <v>0.41299999999999998</v>
      </c>
      <c r="EU7">
        <v>25</v>
      </c>
      <c r="EV7" s="6">
        <f>ROUNDDOWN(362345/F1*H1,0)</f>
        <v>363</v>
      </c>
      <c r="EW7" t="s">
        <v>114</v>
      </c>
      <c r="EX7" t="s">
        <v>115</v>
      </c>
      <c r="EY7">
        <v>0.5</v>
      </c>
      <c r="EZ7">
        <v>0.5</v>
      </c>
      <c r="FA7">
        <v>26</v>
      </c>
      <c r="FB7" s="6">
        <f>ROUNDDOWN(344733/F1*H1,0)</f>
        <v>345</v>
      </c>
      <c r="FC7" t="s">
        <v>116</v>
      </c>
      <c r="FD7" t="s">
        <v>117</v>
      </c>
      <c r="FE7">
        <v>0.60599999999999998</v>
      </c>
      <c r="FF7">
        <v>0.39400000000000002</v>
      </c>
      <c r="FG7">
        <v>27</v>
      </c>
      <c r="FH7">
        <f>ROUNDDOWN(317318/F1*H1,0)</f>
        <v>318</v>
      </c>
      <c r="FI7" t="s">
        <v>118</v>
      </c>
      <c r="FJ7" t="s">
        <v>119</v>
      </c>
      <c r="FK7">
        <v>0.69799999999999995</v>
      </c>
      <c r="FL7">
        <v>0.30199999999999999</v>
      </c>
      <c r="FM7">
        <v>28</v>
      </c>
      <c r="FN7" s="6">
        <f>ROUNDDOWN(336199/F1*H1,0)</f>
        <v>337</v>
      </c>
      <c r="FO7" t="s">
        <v>120</v>
      </c>
      <c r="FP7" t="s">
        <v>121</v>
      </c>
      <c r="FQ7">
        <v>0.72699999999999998</v>
      </c>
      <c r="FR7">
        <v>0.27300000000000002</v>
      </c>
      <c r="FS7">
        <v>29</v>
      </c>
      <c r="FT7" s="6">
        <f>ROUNDDOWN(210944/F1*H1,0)</f>
        <v>211</v>
      </c>
      <c r="FU7" t="s">
        <v>122</v>
      </c>
      <c r="FV7" t="s">
        <v>123</v>
      </c>
      <c r="FW7">
        <v>0.56599999999999995</v>
      </c>
      <c r="FX7">
        <v>0.434</v>
      </c>
      <c r="FY7">
        <v>30</v>
      </c>
      <c r="FZ7">
        <f>ROUNDDOWN((240038+105426)/F1*H1,0)</f>
        <v>346</v>
      </c>
      <c r="GA7" t="s">
        <v>124</v>
      </c>
      <c r="GB7" t="s">
        <v>125</v>
      </c>
      <c r="GC7">
        <v>0.69499999999999995</v>
      </c>
      <c r="GD7">
        <v>0.30499999999999999</v>
      </c>
      <c r="GE7">
        <v>31</v>
      </c>
      <c r="GF7" s="6">
        <f>ROUNDDOWN(286050/F1*H1,0)</f>
        <v>286</v>
      </c>
      <c r="GG7" t="s">
        <v>126</v>
      </c>
      <c r="GH7" t="s">
        <v>127</v>
      </c>
      <c r="GI7">
        <v>0.61299999999999999</v>
      </c>
      <c r="GJ7">
        <v>0.38700000000000001</v>
      </c>
      <c r="GK7">
        <v>32</v>
      </c>
      <c r="GL7">
        <f>ROUNDDOWN(259760/F1*H1,0)</f>
        <v>260</v>
      </c>
      <c r="GM7" t="s">
        <v>128</v>
      </c>
      <c r="GN7" t="s">
        <v>129</v>
      </c>
      <c r="GO7">
        <v>0.66600000000000004</v>
      </c>
      <c r="GP7">
        <v>0.33400000000000002</v>
      </c>
      <c r="GQ7">
        <v>33</v>
      </c>
      <c r="GR7" s="6">
        <f>ROUNDDOWN(380428/F1*H1,0)</f>
        <v>381</v>
      </c>
      <c r="GS7" t="s">
        <v>130</v>
      </c>
      <c r="GT7" t="s">
        <v>131</v>
      </c>
      <c r="GU7">
        <v>0.67600000000000005</v>
      </c>
      <c r="GV7">
        <v>0.32400000000000001</v>
      </c>
      <c r="GW7">
        <v>34</v>
      </c>
      <c r="GX7" s="6">
        <f>ROUNDDOWN(205346/F1*H1,0)</f>
        <v>205</v>
      </c>
      <c r="GY7" t="s">
        <v>132</v>
      </c>
      <c r="GZ7" t="s">
        <v>25</v>
      </c>
      <c r="HA7" s="7">
        <v>1</v>
      </c>
      <c r="HB7">
        <v>0</v>
      </c>
      <c r="HC7">
        <v>35</v>
      </c>
      <c r="HD7" s="6">
        <f>ROUNDDOWN(244346/F1*H1,0)</f>
        <v>245</v>
      </c>
      <c r="HE7" t="s">
        <v>133</v>
      </c>
      <c r="HF7" t="s">
        <v>134</v>
      </c>
      <c r="HG7">
        <v>0.69299999999999995</v>
      </c>
      <c r="HH7">
        <v>0.307</v>
      </c>
      <c r="HI7">
        <v>36</v>
      </c>
      <c r="HJ7" s="6">
        <f>ROUNDDOWN(306691/F1*H1,0)</f>
        <v>307</v>
      </c>
      <c r="HK7" t="s">
        <v>135</v>
      </c>
      <c r="HL7" t="s">
        <v>136</v>
      </c>
      <c r="HM7">
        <v>0.60299999999999998</v>
      </c>
      <c r="HN7">
        <v>0.39700000000000002</v>
      </c>
      <c r="HO7">
        <v>37</v>
      </c>
      <c r="HP7" s="6">
        <f>ROUNDDOWN(296621/F1*H1,0)</f>
        <v>297</v>
      </c>
      <c r="HQ7" t="s">
        <v>137</v>
      </c>
      <c r="HR7" t="s">
        <v>138</v>
      </c>
      <c r="HS7">
        <v>0.85899999999999999</v>
      </c>
      <c r="HT7">
        <v>0.14099999999999999</v>
      </c>
      <c r="HU7">
        <v>38</v>
      </c>
      <c r="HV7" s="6">
        <f>ROUNDDOWN(256206/F1*H1,0)</f>
        <v>256</v>
      </c>
      <c r="HW7" t="s">
        <v>139</v>
      </c>
      <c r="HX7" t="s">
        <v>140</v>
      </c>
      <c r="HY7">
        <v>0.74299999999999999</v>
      </c>
      <c r="HZ7">
        <v>0.25700000000000001</v>
      </c>
      <c r="IA7">
        <v>39</v>
      </c>
      <c r="IB7">
        <f>ROUNDDOWN(343783/F1*H1,0)</f>
        <v>344</v>
      </c>
      <c r="IC7" t="s">
        <v>141</v>
      </c>
      <c r="ID7" t="s">
        <v>142</v>
      </c>
      <c r="IE7">
        <v>0.49399999999999999</v>
      </c>
      <c r="IF7">
        <v>0.50600000000000001</v>
      </c>
      <c r="IG7">
        <v>40</v>
      </c>
      <c r="IH7" s="6">
        <f>ROUNDDOWN(186381/F1*H1,0)</f>
        <v>186</v>
      </c>
      <c r="II7" t="s">
        <v>143</v>
      </c>
      <c r="IJ7" t="s">
        <v>144</v>
      </c>
      <c r="IK7">
        <v>0.72699999999999998</v>
      </c>
      <c r="IL7">
        <v>0.27300000000000002</v>
      </c>
      <c r="IM7">
        <v>41</v>
      </c>
      <c r="IN7" s="6">
        <f>ROUNDDOWN(262227/F1*H1,0)</f>
        <v>262</v>
      </c>
      <c r="IO7" t="s">
        <v>145</v>
      </c>
      <c r="IP7" t="s">
        <v>146</v>
      </c>
      <c r="IQ7">
        <v>0.64</v>
      </c>
      <c r="IR7">
        <v>0.36</v>
      </c>
      <c r="IS7">
        <v>42</v>
      </c>
      <c r="IT7" s="6">
        <f>ROUNDDOWN(367741/F1*H1,0)</f>
        <v>368</v>
      </c>
      <c r="IU7" t="s">
        <v>147</v>
      </c>
      <c r="IV7" t="s">
        <v>148</v>
      </c>
      <c r="IW7">
        <v>0.42899999999999999</v>
      </c>
      <c r="IX7">
        <v>0.57099999999999995</v>
      </c>
      <c r="IY7">
        <v>43</v>
      </c>
      <c r="IZ7" s="6">
        <f>ROUNDDOWN(277889/F1*H1,0)</f>
        <v>278</v>
      </c>
      <c r="JA7" t="s">
        <v>149</v>
      </c>
      <c r="JB7" t="s">
        <v>150</v>
      </c>
      <c r="JC7">
        <v>0.71699999999999997</v>
      </c>
      <c r="JD7">
        <v>0.28299999999999997</v>
      </c>
      <c r="JE7">
        <v>44</v>
      </c>
      <c r="JF7" s="6">
        <f>ROUNDDOWN(206036/F1*H1,0)</f>
        <v>206</v>
      </c>
      <c r="JG7" t="s">
        <v>151</v>
      </c>
      <c r="JH7" t="s">
        <v>152</v>
      </c>
      <c r="JI7">
        <v>0.67800000000000005</v>
      </c>
      <c r="JJ7">
        <v>0.32200000000000001</v>
      </c>
      <c r="JK7">
        <v>45</v>
      </c>
      <c r="JL7" s="6">
        <f>ROUNDDOWN(414939/F1*H1,0)</f>
        <v>416</v>
      </c>
      <c r="JM7" t="s">
        <v>153</v>
      </c>
      <c r="JN7" t="s">
        <v>154</v>
      </c>
      <c r="JO7">
        <v>0.53500000000000003</v>
      </c>
      <c r="JP7">
        <v>0.46500000000000002</v>
      </c>
      <c r="JQ7">
        <v>46</v>
      </c>
      <c r="JR7" s="6">
        <f>ROUNDDOWN(229519/F1*H1,0)</f>
        <v>230</v>
      </c>
      <c r="JS7" t="s">
        <v>155</v>
      </c>
      <c r="JT7" t="s">
        <v>156</v>
      </c>
      <c r="JU7">
        <v>0.68799999999999994</v>
      </c>
      <c r="JV7">
        <v>0.312</v>
      </c>
      <c r="JW7">
        <v>47</v>
      </c>
      <c r="JX7" s="6">
        <f>ROUNDDOWN(311399/F1*H1,0)</f>
        <v>312</v>
      </c>
      <c r="JY7" t="s">
        <v>157</v>
      </c>
      <c r="JZ7" t="s">
        <v>158</v>
      </c>
      <c r="KA7">
        <v>0.63300000000000001</v>
      </c>
      <c r="KB7">
        <v>0.36699999999999999</v>
      </c>
      <c r="KC7">
        <v>48</v>
      </c>
      <c r="KD7" s="6">
        <f>ROUNDDOWN(395100/F1*H1,0)</f>
        <v>396</v>
      </c>
      <c r="KE7" t="s">
        <v>159</v>
      </c>
      <c r="KF7" t="s">
        <v>160</v>
      </c>
      <c r="KG7">
        <v>0.48899999999999999</v>
      </c>
      <c r="KH7">
        <v>0.51100000000000001</v>
      </c>
      <c r="KI7">
        <v>49</v>
      </c>
      <c r="KJ7" s="6">
        <f>ROUNDDOWN(386506/F1*H1,0)</f>
        <v>387</v>
      </c>
      <c r="KK7" t="s">
        <v>161</v>
      </c>
      <c r="KL7" t="s">
        <v>162</v>
      </c>
      <c r="KM7">
        <v>0.53100000000000003</v>
      </c>
      <c r="KN7">
        <v>0.46899999999999997</v>
      </c>
      <c r="KO7">
        <v>50</v>
      </c>
      <c r="KP7">
        <f>ROUNDDOWN(362369/F1*H1,0)</f>
        <v>363</v>
      </c>
      <c r="KQ7" t="s">
        <v>163</v>
      </c>
      <c r="KR7" t="s">
        <v>164</v>
      </c>
      <c r="KS7">
        <v>0.46</v>
      </c>
      <c r="KT7">
        <v>0.54</v>
      </c>
      <c r="KU7">
        <v>51</v>
      </c>
      <c r="KV7">
        <f>ROUNDDOWN(242437/F1*H1,0)</f>
        <v>243</v>
      </c>
      <c r="KW7" t="s">
        <v>165</v>
      </c>
      <c r="KX7" t="s">
        <v>166</v>
      </c>
      <c r="KY7">
        <v>0.68300000000000005</v>
      </c>
      <c r="KZ7">
        <v>0.317</v>
      </c>
      <c r="LA7">
        <v>52</v>
      </c>
      <c r="LB7">
        <f>ROUNDDOWN(396495/F1*H1,0)</f>
        <v>397</v>
      </c>
      <c r="LC7" t="s">
        <v>167</v>
      </c>
      <c r="LD7" t="s">
        <v>168</v>
      </c>
      <c r="LE7">
        <v>0.61599999999999999</v>
      </c>
      <c r="LF7">
        <v>0.38400000000000001</v>
      </c>
      <c r="LG7">
        <v>53</v>
      </c>
      <c r="LH7" s="6">
        <f>ROUNDDOWN(334858/F1*H1,0)</f>
        <v>335</v>
      </c>
      <c r="LI7" t="s">
        <v>169</v>
      </c>
      <c r="LJ7" t="s">
        <v>170</v>
      </c>
      <c r="LK7">
        <v>0.59499999999999997</v>
      </c>
      <c r="LL7">
        <v>0.40500000000000003</v>
      </c>
    </row>
    <row r="8" spans="1:324" x14ac:dyDescent="0.3">
      <c r="A8" s="3" t="s">
        <v>171</v>
      </c>
      <c r="B8" s="3" t="s">
        <v>172</v>
      </c>
      <c r="C8" s="3" t="s">
        <v>173</v>
      </c>
      <c r="D8" s="3">
        <f>ROUNDDOWN(3295666/F1*H1,0)</f>
        <v>3305</v>
      </c>
      <c r="E8" s="3">
        <v>9</v>
      </c>
      <c r="F8" s="3">
        <v>7</v>
      </c>
      <c r="G8" s="3">
        <v>1</v>
      </c>
      <c r="H8" s="3">
        <f>ROUNDDOWN(450290/F1*H1,0)</f>
        <v>451</v>
      </c>
      <c r="I8" s="3" t="s">
        <v>174</v>
      </c>
      <c r="J8" s="3" t="s">
        <v>175</v>
      </c>
      <c r="K8" s="3">
        <v>0.73599999999999999</v>
      </c>
      <c r="L8" s="3">
        <v>0.23499999999999999</v>
      </c>
      <c r="M8" s="3">
        <v>2</v>
      </c>
      <c r="N8" s="3">
        <f>ROUNDDOWN(515663/F1*H1,0)</f>
        <v>517</v>
      </c>
      <c r="O8" s="3" t="s">
        <v>176</v>
      </c>
      <c r="P8" s="3" t="s">
        <v>177</v>
      </c>
      <c r="Q8" s="3">
        <v>0.61399999999999999</v>
      </c>
      <c r="R8" s="3">
        <v>0.35399999999999998</v>
      </c>
      <c r="S8" s="3">
        <v>3</v>
      </c>
      <c r="T8" s="3">
        <f>ROUNDDOWN(429319/F1*H1,0)</f>
        <v>430</v>
      </c>
      <c r="U8" s="3" t="s">
        <v>178</v>
      </c>
      <c r="V8" s="3" t="s">
        <v>179</v>
      </c>
      <c r="W8" s="3">
        <v>0.45200000000000001</v>
      </c>
      <c r="X8" s="3">
        <v>0.51300000000000001</v>
      </c>
      <c r="Y8" s="3">
        <v>4</v>
      </c>
      <c r="Z8" s="3">
        <f>ROUNDDOWN(475107/F1*H1,0)</f>
        <v>476</v>
      </c>
      <c r="AA8" s="3" t="s">
        <v>180</v>
      </c>
      <c r="AB8" s="3" t="s">
        <v>181</v>
      </c>
      <c r="AC8" s="3">
        <v>0.36599999999999999</v>
      </c>
      <c r="AD8" s="3">
        <v>0.60099999999999998</v>
      </c>
      <c r="AE8" s="3">
        <v>5</v>
      </c>
      <c r="AF8" s="3">
        <f>ROUNDDOWN(432407/F1*H1,0)</f>
        <v>433</v>
      </c>
      <c r="AG8" s="3" t="s">
        <v>182</v>
      </c>
      <c r="AH8" s="3" t="s">
        <v>183</v>
      </c>
      <c r="AI8" s="3">
        <v>0.373</v>
      </c>
      <c r="AJ8" s="3">
        <v>0.57499999999999996</v>
      </c>
      <c r="AK8" s="3">
        <v>6</v>
      </c>
      <c r="AL8" s="3">
        <f>ROUNDDOWN(438473/F1*H1,0)</f>
        <v>439</v>
      </c>
      <c r="AM8" s="3" t="s">
        <v>184</v>
      </c>
      <c r="AN8" s="3" t="s">
        <v>185</v>
      </c>
      <c r="AO8" s="3">
        <v>0.57099999999999995</v>
      </c>
      <c r="AP8" s="3">
        <v>0.39900000000000002</v>
      </c>
      <c r="AQ8" s="3">
        <v>7</v>
      </c>
      <c r="AR8" s="3">
        <f>ROUNDDOWN(423691/F1*H1,0)</f>
        <v>424</v>
      </c>
      <c r="AS8" s="3" t="s">
        <v>186</v>
      </c>
      <c r="AT8" s="3" t="s">
        <v>187</v>
      </c>
      <c r="AU8" s="3">
        <v>0.59099999999999997</v>
      </c>
      <c r="AV8" s="3">
        <v>0.376</v>
      </c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</row>
    <row r="9" spans="1:324" x14ac:dyDescent="0.3">
      <c r="A9" s="3" t="s">
        <v>188</v>
      </c>
      <c r="B9" s="3" t="s">
        <v>25</v>
      </c>
      <c r="C9" s="3" t="s">
        <v>25</v>
      </c>
      <c r="D9" s="3">
        <f>ROUNDDOWN(1861086/F1*H1,0)</f>
        <v>1866</v>
      </c>
      <c r="E9" s="3">
        <v>7</v>
      </c>
      <c r="F9" s="3">
        <v>5</v>
      </c>
      <c r="G9" s="3">
        <v>1</v>
      </c>
      <c r="H9" s="3">
        <f>ROUNDDOWN(349237/F1*H1,0)</f>
        <v>350</v>
      </c>
      <c r="I9" s="3" t="s">
        <v>189</v>
      </c>
      <c r="J9" s="3" t="s">
        <v>190</v>
      </c>
      <c r="K9" s="3">
        <v>0.60899999999999999</v>
      </c>
      <c r="L9" s="3">
        <v>0.34899999999999998</v>
      </c>
      <c r="M9" s="3">
        <v>2</v>
      </c>
      <c r="N9" s="3">
        <f>ROUNDDOWN(367181/F1*H1,0)</f>
        <v>368</v>
      </c>
      <c r="O9" s="3" t="s">
        <v>191</v>
      </c>
      <c r="P9" s="3" t="s">
        <v>192</v>
      </c>
      <c r="Q9" s="3">
        <v>0.56399999999999995</v>
      </c>
      <c r="R9" s="3">
        <v>0.38200000000000001</v>
      </c>
      <c r="S9" s="3">
        <v>3</v>
      </c>
      <c r="T9" s="3">
        <f>ROUNDDOWN((194259+131566+6030+9006+5240)/F1*H1,0)</f>
        <v>347</v>
      </c>
      <c r="U9" s="3" t="s">
        <v>193</v>
      </c>
      <c r="V9" s="3" t="s">
        <v>194</v>
      </c>
      <c r="W9" s="3">
        <v>0.56100000000000005</v>
      </c>
      <c r="X9" s="3">
        <v>0.38</v>
      </c>
      <c r="Y9" s="3">
        <v>4</v>
      </c>
      <c r="Z9" s="3">
        <f>ROUNDDOWN((223832+130627+5656+10)/F1*H1,0)</f>
        <v>361</v>
      </c>
      <c r="AA9" s="3" t="s">
        <v>195</v>
      </c>
      <c r="AB9" s="3" t="s">
        <v>196</v>
      </c>
      <c r="AC9" s="3">
        <v>0.621</v>
      </c>
      <c r="AD9" s="3">
        <v>0.36199999999999999</v>
      </c>
      <c r="AE9" s="3">
        <v>5</v>
      </c>
      <c r="AF9" s="3">
        <f>ROUNDDOWN((183797+151988+5052+8687)/F1*H1,0)</f>
        <v>350</v>
      </c>
      <c r="AG9" s="3" t="s">
        <v>197</v>
      </c>
      <c r="AH9" s="3" t="s">
        <v>198</v>
      </c>
      <c r="AI9" s="3">
        <v>0.52500000000000002</v>
      </c>
      <c r="AJ9" s="3">
        <v>0.434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</row>
    <row r="10" spans="1:324" x14ac:dyDescent="0.3">
      <c r="A10" s="3" t="s">
        <v>199</v>
      </c>
      <c r="B10" s="3" t="s">
        <v>200</v>
      </c>
      <c r="C10" s="3" t="s">
        <v>201</v>
      </c>
      <c r="D10" s="3">
        <f>ROUNDDOWN(509241/F1*H1,0)</f>
        <v>510</v>
      </c>
      <c r="E10" s="3">
        <v>3</v>
      </c>
      <c r="F10" s="3">
        <v>1</v>
      </c>
      <c r="G10" s="3">
        <v>1</v>
      </c>
      <c r="H10" s="3">
        <f>ROUNDDOWN((122642+34142+2565+1141)/F1*H1,0)</f>
        <v>160</v>
      </c>
      <c r="I10" s="3" t="s">
        <v>202</v>
      </c>
      <c r="J10" s="3" t="s">
        <v>203</v>
      </c>
      <c r="K10" s="3">
        <v>0.57599999999999996</v>
      </c>
      <c r="L10" s="3">
        <v>0.40200000000000002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</row>
    <row r="11" spans="1:324" x14ac:dyDescent="0.3">
      <c r="A11" s="4" t="s">
        <v>204</v>
      </c>
      <c r="B11" s="3" t="s">
        <v>25</v>
      </c>
      <c r="C11" s="3" t="s">
        <v>25</v>
      </c>
      <c r="D11" s="3">
        <f>ROUNDDOWN(11144855/F1*H1,0)</f>
        <v>11176</v>
      </c>
      <c r="E11" s="3">
        <v>29</v>
      </c>
      <c r="F11" s="3">
        <v>27</v>
      </c>
      <c r="G11" s="3">
        <v>1</v>
      </c>
      <c r="H11" s="3">
        <f>ROUNDDOWN((283352+149172+6038)/F1*H1,0)</f>
        <v>439</v>
      </c>
      <c r="I11" s="3" t="s">
        <v>205</v>
      </c>
      <c r="J11" s="3" t="s">
        <v>206</v>
      </c>
      <c r="K11" s="3">
        <v>0.34</v>
      </c>
      <c r="L11" s="3">
        <v>0.64600000000000002</v>
      </c>
      <c r="M11" s="3">
        <v>2</v>
      </c>
      <c r="N11" s="3">
        <f>ROUNDDOWN((305337+6662)/F1*H1,0)</f>
        <v>312</v>
      </c>
      <c r="O11" s="3" t="s">
        <v>25</v>
      </c>
      <c r="P11" s="3" t="s">
        <v>207</v>
      </c>
      <c r="Q11" s="3">
        <v>0</v>
      </c>
      <c r="R11" s="3">
        <v>0.97899999999999998</v>
      </c>
      <c r="S11" s="3">
        <v>3</v>
      </c>
      <c r="T11" s="3">
        <f>ROUNDDOWN((223075+167326)/F1*H1,0)</f>
        <v>391</v>
      </c>
      <c r="U11" s="3" t="s">
        <v>208</v>
      </c>
      <c r="V11" s="3" t="s">
        <v>209</v>
      </c>
      <c r="W11" s="3">
        <v>0.42899999999999999</v>
      </c>
      <c r="X11" s="3">
        <v>0.57099999999999995</v>
      </c>
      <c r="Y11" s="3">
        <v>4</v>
      </c>
      <c r="Z11" s="3">
        <f>ROUNDDOWN((308497+196423)/F1*H1,0)</f>
        <v>506</v>
      </c>
      <c r="AA11" s="3" t="s">
        <v>210</v>
      </c>
      <c r="AB11" s="3" t="s">
        <v>211</v>
      </c>
      <c r="AC11" s="3">
        <v>0.38900000000000001</v>
      </c>
      <c r="AD11" s="3">
        <v>0.61099999999999999</v>
      </c>
      <c r="AE11" s="3">
        <v>5</v>
      </c>
      <c r="AF11" s="3">
        <f>ROUNDDOWN((117510+219463)/F1*H1,0)</f>
        <v>337</v>
      </c>
      <c r="AG11" s="3" t="s">
        <v>212</v>
      </c>
      <c r="AH11" s="3" t="s">
        <v>213</v>
      </c>
      <c r="AI11" s="3">
        <v>0.65100000000000002</v>
      </c>
      <c r="AJ11" s="3">
        <v>0.34899999999999998</v>
      </c>
      <c r="AK11" s="3">
        <v>6</v>
      </c>
      <c r="AL11" s="3">
        <f>ROUNDDOWN((265393+172305)/F1*H1,0)</f>
        <v>438</v>
      </c>
      <c r="AM11" s="3" t="s">
        <v>214</v>
      </c>
      <c r="AN11" s="3" t="s">
        <v>215</v>
      </c>
      <c r="AO11" s="3">
        <v>0.39400000000000002</v>
      </c>
      <c r="AP11" s="3">
        <v>0.60599999999999998</v>
      </c>
      <c r="AQ11" s="3">
        <v>7</v>
      </c>
      <c r="AR11" s="3">
        <f>ROUNDDOWN((224946+175750+5753)/F1*H1,0)</f>
        <v>407</v>
      </c>
      <c r="AS11" s="3" t="s">
        <v>216</v>
      </c>
      <c r="AT11" s="3" t="s">
        <v>217</v>
      </c>
      <c r="AU11" s="3">
        <v>0.55300000000000005</v>
      </c>
      <c r="AV11" s="3">
        <v>0.432</v>
      </c>
      <c r="AW11" s="3">
        <v>8</v>
      </c>
      <c r="AX11" s="3">
        <f>ROUNDDOWN((282093+177695)/F1*H1,0)</f>
        <v>461</v>
      </c>
      <c r="AY11" s="3" t="s">
        <v>218</v>
      </c>
      <c r="AZ11" s="3" t="s">
        <v>219</v>
      </c>
      <c r="BA11" s="3">
        <v>0.38600000000000001</v>
      </c>
      <c r="BB11" s="3">
        <v>0.61399999999999999</v>
      </c>
      <c r="BC11" s="3">
        <v>9</v>
      </c>
      <c r="BD11" s="3">
        <f>ROUNDDOWN((240724+188889)/F1*H1,0)</f>
        <v>430</v>
      </c>
      <c r="BE11" s="3" t="s">
        <v>220</v>
      </c>
      <c r="BF11" s="3" t="s">
        <v>221</v>
      </c>
      <c r="BG11" s="3">
        <v>0.56000000000000005</v>
      </c>
      <c r="BH11" s="3">
        <v>0.44</v>
      </c>
      <c r="BI11" s="3">
        <v>10</v>
      </c>
      <c r="BJ11" s="3">
        <f>ROUNDDOWN((239434+136889)/F1*H1,0)</f>
        <v>377</v>
      </c>
      <c r="BK11" s="3" t="s">
        <v>222</v>
      </c>
      <c r="BL11" s="3" t="s">
        <v>223</v>
      </c>
      <c r="BM11" s="3">
        <v>0.63600000000000001</v>
      </c>
      <c r="BN11" s="3">
        <v>0.36399999999999999</v>
      </c>
      <c r="BO11" s="3">
        <v>11</v>
      </c>
      <c r="BP11" s="3">
        <f>ROUNDDOWN((316979+158094)/F1*H1,0)</f>
        <v>476</v>
      </c>
      <c r="BQ11" s="3" t="s">
        <v>224</v>
      </c>
      <c r="BR11" s="3" t="s">
        <v>225</v>
      </c>
      <c r="BS11" s="3">
        <v>0.33</v>
      </c>
      <c r="BT11" s="3">
        <v>0.66700000000000004</v>
      </c>
      <c r="BU11" s="3">
        <v>12</v>
      </c>
      <c r="BV11" s="3">
        <f>ROUNDDOWN((384941+168194)/F1*H1,0)</f>
        <v>554</v>
      </c>
      <c r="BW11" s="3" t="s">
        <v>226</v>
      </c>
      <c r="BX11" s="3" t="s">
        <v>227</v>
      </c>
      <c r="BY11" s="3">
        <v>0.371</v>
      </c>
      <c r="BZ11" s="3">
        <v>0.629</v>
      </c>
      <c r="CA11" s="3">
        <v>13</v>
      </c>
      <c r="CB11" s="3">
        <f>ROUNDDOWN((215405+190713)/F1*H1,0)</f>
        <v>407</v>
      </c>
      <c r="CC11" s="3" t="s">
        <v>228</v>
      </c>
      <c r="CD11" s="3" t="s">
        <v>229</v>
      </c>
      <c r="CE11" s="3">
        <v>0.53</v>
      </c>
      <c r="CF11" s="3">
        <v>0.47</v>
      </c>
      <c r="CG11" s="3">
        <v>14</v>
      </c>
      <c r="CH11" s="3">
        <f>ROUNDDOWN((216374+174297)/F1*H1,0)</f>
        <v>391</v>
      </c>
      <c r="CI11" s="3" t="s">
        <v>230</v>
      </c>
      <c r="CJ11" s="3" t="s">
        <v>231</v>
      </c>
      <c r="CK11" s="3">
        <v>0.44600000000000001</v>
      </c>
      <c r="CL11" s="3">
        <v>0.55400000000000005</v>
      </c>
      <c r="CM11" s="3">
        <v>15</v>
      </c>
      <c r="CN11" s="3">
        <f>ROUNDDOWN((224240+147896)/F1*H1,0)</f>
        <v>373</v>
      </c>
      <c r="CO11" s="3" t="s">
        <v>232</v>
      </c>
      <c r="CP11" s="3" t="s">
        <v>233</v>
      </c>
      <c r="CQ11" s="3">
        <v>0.60299999999999998</v>
      </c>
      <c r="CR11" s="3">
        <v>0.39700000000000002</v>
      </c>
      <c r="CS11" s="3">
        <v>16</v>
      </c>
      <c r="CT11" s="3">
        <f>ROUNDDOWN((269001+215683)/F1*H1,0)</f>
        <v>486</v>
      </c>
      <c r="CU11" s="3" t="s">
        <v>234</v>
      </c>
      <c r="CV11" s="3" t="s">
        <v>235</v>
      </c>
      <c r="CW11" s="3">
        <v>0.44500000000000001</v>
      </c>
      <c r="CX11" s="3">
        <v>0.55500000000000005</v>
      </c>
      <c r="CY11" s="3">
        <v>17</v>
      </c>
      <c r="CZ11" s="3">
        <f>ROUNDDOWN((266514+140487+5396)/F1*H1,0)</f>
        <v>413</v>
      </c>
      <c r="DA11" s="3" t="s">
        <v>236</v>
      </c>
      <c r="DB11" s="3" t="s">
        <v>237</v>
      </c>
      <c r="DC11" s="3">
        <v>0.34100000000000003</v>
      </c>
      <c r="DD11">
        <v>0.64600000000000002</v>
      </c>
      <c r="DE11">
        <v>18</v>
      </c>
      <c r="DF11">
        <f>ROUNDDOWN((253286+186674+9760)/F1*H1,0)</f>
        <v>451</v>
      </c>
      <c r="DG11" t="s">
        <v>238</v>
      </c>
      <c r="DH11" t="s">
        <v>239</v>
      </c>
      <c r="DI11">
        <v>0.41499999999999998</v>
      </c>
      <c r="DJ11">
        <v>0.56299999999999994</v>
      </c>
      <c r="DK11">
        <v>19</v>
      </c>
      <c r="DL11">
        <f>ROUNDDOWN((272440+172146)/F1*H1,0)</f>
        <v>445</v>
      </c>
      <c r="DM11" t="s">
        <v>240</v>
      </c>
      <c r="DN11" t="s">
        <v>241</v>
      </c>
      <c r="DO11">
        <v>0.38700000000000001</v>
      </c>
      <c r="DP11">
        <v>0.61299999999999999</v>
      </c>
      <c r="DQ11">
        <v>20</v>
      </c>
      <c r="DR11">
        <f>ROUNDDOWN((253661+68748)/F1*H1,0)</f>
        <v>323</v>
      </c>
      <c r="DS11" t="s">
        <v>242</v>
      </c>
      <c r="DT11" t="s">
        <v>243</v>
      </c>
      <c r="DU11">
        <v>0.78700000000000003</v>
      </c>
      <c r="DV11">
        <v>0.21299999999999999</v>
      </c>
      <c r="DW11">
        <v>21</v>
      </c>
      <c r="DX11">
        <f>ROUNDDOWN((237925+157612+7544)/F1*H1,0)</f>
        <v>404</v>
      </c>
      <c r="DY11" t="s">
        <v>244</v>
      </c>
      <c r="DZ11" t="s">
        <v>245</v>
      </c>
      <c r="EA11">
        <v>0.59</v>
      </c>
      <c r="EB11">
        <v>0.39100000000000001</v>
      </c>
      <c r="EC11">
        <v>22</v>
      </c>
      <c r="ED11">
        <f>ROUNDDOWN((235764+166553)/F1*H1,0)</f>
        <v>403</v>
      </c>
      <c r="EE11" t="s">
        <v>246</v>
      </c>
      <c r="EF11" t="s">
        <v>247</v>
      </c>
      <c r="EG11">
        <v>0.58599999999999997</v>
      </c>
      <c r="EH11">
        <v>0.41399999999999998</v>
      </c>
      <c r="EI11">
        <v>23</v>
      </c>
      <c r="EJ11">
        <f>ROUNDDOWN((221239+158874)/F1*H1,0)</f>
        <v>381</v>
      </c>
      <c r="EK11" t="s">
        <v>248</v>
      </c>
      <c r="EL11" t="s">
        <v>249</v>
      </c>
      <c r="EM11">
        <v>0.58199999999999996</v>
      </c>
      <c r="EN11">
        <v>0.41799999999999998</v>
      </c>
      <c r="EO11">
        <v>24</v>
      </c>
      <c r="EP11">
        <f>ROUNDDOWN((218825+59084+11703)/F1*H1,0)</f>
        <v>290</v>
      </c>
      <c r="EQ11" t="s">
        <v>250</v>
      </c>
      <c r="ER11" t="s">
        <v>251</v>
      </c>
      <c r="ES11">
        <v>0.75600000000000001</v>
      </c>
      <c r="ET11">
        <v>0.20399999999999999</v>
      </c>
      <c r="EU11">
        <v>25</v>
      </c>
      <c r="EV11">
        <v>288</v>
      </c>
      <c r="EW11" t="s">
        <v>25</v>
      </c>
      <c r="EX11" t="s">
        <v>252</v>
      </c>
      <c r="EY11">
        <v>0</v>
      </c>
      <c r="EZ11">
        <v>1</v>
      </c>
      <c r="FA11">
        <v>26</v>
      </c>
      <c r="FB11">
        <f>ROUNDDOWN((177223+165407)/F1*H1,0)</f>
        <v>343</v>
      </c>
      <c r="FC11" t="s">
        <v>253</v>
      </c>
      <c r="FD11" t="s">
        <v>254</v>
      </c>
      <c r="FE11">
        <v>0.48299999999999998</v>
      </c>
      <c r="FF11">
        <v>0.51700000000000002</v>
      </c>
      <c r="FG11">
        <v>27</v>
      </c>
      <c r="FH11">
        <f>ROUNDDOWN((176141+166758)/F1*H1,0)</f>
        <v>343</v>
      </c>
      <c r="FI11" t="s">
        <v>255</v>
      </c>
      <c r="FJ11" t="s">
        <v>256</v>
      </c>
      <c r="FK11">
        <v>0.48599999999999999</v>
      </c>
      <c r="FL11">
        <v>0.51400000000000001</v>
      </c>
    </row>
    <row r="12" spans="1:324" x14ac:dyDescent="0.3">
      <c r="A12" s="4" t="s">
        <v>257</v>
      </c>
      <c r="B12" s="3" t="s">
        <v>258</v>
      </c>
      <c r="C12" s="3" t="s">
        <v>259</v>
      </c>
      <c r="D12" s="3">
        <f>ROUNDDOWN(5000511/F1*H1,0)</f>
        <v>5014</v>
      </c>
      <c r="E12" s="3">
        <v>16</v>
      </c>
      <c r="F12" s="3">
        <v>14</v>
      </c>
      <c r="G12" s="3">
        <v>1</v>
      </c>
      <c r="H12" s="3">
        <f>ROUNDDOWN((189457+135238)/F1*H1,0)</f>
        <v>325</v>
      </c>
      <c r="I12" s="3" t="s">
        <v>260</v>
      </c>
      <c r="J12" s="3" t="s">
        <v>261</v>
      </c>
      <c r="K12" s="3">
        <v>0.41699999999999998</v>
      </c>
      <c r="L12" s="3">
        <v>0.58130000000000004</v>
      </c>
      <c r="M12" s="3">
        <v>2</v>
      </c>
      <c r="N12" s="3">
        <f>ROUNDDOWN((161397+111620)/F1*H1,0)</f>
        <v>273</v>
      </c>
      <c r="O12" s="3" t="s">
        <v>262</v>
      </c>
      <c r="P12" s="3" t="s">
        <v>263</v>
      </c>
      <c r="Q12" s="3">
        <v>0.59099999999999997</v>
      </c>
      <c r="R12" s="3">
        <v>0.40899999999999997</v>
      </c>
      <c r="S12" s="3">
        <v>3</v>
      </c>
      <c r="T12" s="3">
        <f>ROUNDDOWN((241526+129792)/F1*H1,0)</f>
        <v>372</v>
      </c>
      <c r="U12" s="3" t="s">
        <v>264</v>
      </c>
      <c r="V12" s="3" t="s">
        <v>265</v>
      </c>
      <c r="W12" s="3">
        <v>0.35</v>
      </c>
      <c r="X12" s="3">
        <v>0.65</v>
      </c>
      <c r="Y12" s="3">
        <v>4</v>
      </c>
      <c r="Z12" s="3">
        <f>ROUNDDOWN((278906+69393)/F1*H1,0)</f>
        <v>349</v>
      </c>
      <c r="AA12" s="3" t="s">
        <v>266</v>
      </c>
      <c r="AB12" s="3" t="s">
        <v>267</v>
      </c>
      <c r="AC12" s="3">
        <v>0.80100000000000005</v>
      </c>
      <c r="AD12" s="3">
        <v>0.19900000000000001</v>
      </c>
      <c r="AE12" s="3">
        <v>5</v>
      </c>
      <c r="AF12" s="3">
        <f>ROUNDDOWN((52646+301857)/F1*H1,0)</f>
        <v>355</v>
      </c>
      <c r="AG12" s="3" t="s">
        <v>268</v>
      </c>
      <c r="AH12" s="3" t="s">
        <v>269</v>
      </c>
      <c r="AI12" s="3">
        <v>0.85099999999999998</v>
      </c>
      <c r="AJ12" s="3">
        <v>0.14899999999999999</v>
      </c>
      <c r="AK12" s="3">
        <v>6</v>
      </c>
      <c r="AL12" s="3">
        <f>ROUNDDOWN((216775+180329)/F1*H1,0)</f>
        <v>398</v>
      </c>
      <c r="AM12" s="3" t="s">
        <v>270</v>
      </c>
      <c r="AN12" s="3" t="s">
        <v>271</v>
      </c>
      <c r="AO12" s="3">
        <v>0.54600000000000004</v>
      </c>
      <c r="AP12" s="3">
        <v>0.45400000000000001</v>
      </c>
      <c r="AQ12" s="3">
        <v>7</v>
      </c>
      <c r="AR12" s="3">
        <f>ROUNDDOWN((190900+180564)/F1*H1,0)</f>
        <v>372</v>
      </c>
      <c r="AS12" s="3" t="s">
        <v>272</v>
      </c>
      <c r="AT12" s="3" t="s">
        <v>273</v>
      </c>
      <c r="AU12" s="3">
        <v>0.51400000000000001</v>
      </c>
      <c r="AV12" s="3">
        <v>0.48599999999999999</v>
      </c>
      <c r="AW12" s="3">
        <v>8</v>
      </c>
      <c r="AX12" s="3">
        <f>ROUNDDOWN((109264+198701)/F1*H1,0)</f>
        <v>308</v>
      </c>
      <c r="AY12" s="3" t="s">
        <v>274</v>
      </c>
      <c r="AZ12" s="3" t="s">
        <v>275</v>
      </c>
      <c r="BA12" s="3">
        <v>0.35499999999999998</v>
      </c>
      <c r="BB12" s="3">
        <v>0.64500000000000002</v>
      </c>
      <c r="BC12" s="3">
        <v>9</v>
      </c>
      <c r="BD12" s="3">
        <f>ROUNDDOWN((292750+79797)/F1*H1,0)</f>
        <v>373</v>
      </c>
      <c r="BE12" s="3" t="s">
        <v>276</v>
      </c>
      <c r="BF12" s="3" t="s">
        <v>277</v>
      </c>
      <c r="BG12" s="3">
        <v>0.214</v>
      </c>
      <c r="BH12" s="3">
        <v>0.78600000000000003</v>
      </c>
      <c r="BI12" s="3">
        <v>10</v>
      </c>
      <c r="BJ12" s="3">
        <f>ROUNDDOWN((235810+142636)/F1*H1,0)</f>
        <v>379</v>
      </c>
      <c r="BK12" s="3" t="s">
        <v>278</v>
      </c>
      <c r="BL12" s="3" t="s">
        <v>279</v>
      </c>
      <c r="BM12" s="3">
        <v>0.377</v>
      </c>
      <c r="BN12" s="3">
        <v>0.623</v>
      </c>
      <c r="BO12" s="3">
        <v>11</v>
      </c>
      <c r="BP12" s="3">
        <f>ROUNDDOWN((245259+160623)/F1*H1,0)</f>
        <v>407</v>
      </c>
      <c r="BQ12" s="3" t="s">
        <v>280</v>
      </c>
      <c r="BR12" s="3" t="s">
        <v>281</v>
      </c>
      <c r="BS12" s="3">
        <v>0.39600000000000002</v>
      </c>
      <c r="BT12" s="3">
        <v>0.60399999999999998</v>
      </c>
      <c r="BU12" s="3">
        <v>12</v>
      </c>
      <c r="BV12" s="3">
        <f>ROUNDDOWN((181038+129061)/F1*H1,0)</f>
        <v>310</v>
      </c>
      <c r="BW12" s="3" t="s">
        <v>282</v>
      </c>
      <c r="BX12" s="3" t="s">
        <v>283</v>
      </c>
      <c r="BY12" s="3">
        <v>0.41599999999999998</v>
      </c>
      <c r="BZ12" s="3">
        <v>0.58399999999999996</v>
      </c>
      <c r="CA12" s="3">
        <v>13</v>
      </c>
      <c r="CB12" s="3">
        <f>ROUNDDOWN((279045+81476)/F1*H1,0)</f>
        <v>361</v>
      </c>
      <c r="CC12" s="3" t="s">
        <v>284</v>
      </c>
      <c r="CD12" s="3" t="s">
        <v>285</v>
      </c>
      <c r="CE12" s="3">
        <v>0.77400000000000002</v>
      </c>
      <c r="CF12" s="3">
        <v>0.22600000000000001</v>
      </c>
      <c r="CG12" s="3">
        <v>14</v>
      </c>
      <c r="CH12" s="3">
        <f>ROUNDDOWN((229827+77798)/F1*H1,0)</f>
        <v>308</v>
      </c>
      <c r="CI12" s="3" t="s">
        <v>286</v>
      </c>
      <c r="CJ12" s="3" t="s">
        <v>287</v>
      </c>
      <c r="CK12" s="3">
        <v>0.253</v>
      </c>
      <c r="CL12" s="3">
        <v>0.747</v>
      </c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</row>
    <row r="13" spans="1:324" x14ac:dyDescent="0.3">
      <c r="A13" s="3" t="s">
        <v>288</v>
      </c>
      <c r="B13" s="3" t="s">
        <v>25</v>
      </c>
      <c r="C13" s="3" t="s">
        <v>25</v>
      </c>
      <c r="D13" s="3">
        <f>ROUNDDOWN(597784/F1*H1,0)</f>
        <v>599</v>
      </c>
      <c r="E13" s="3">
        <v>4</v>
      </c>
      <c r="F13" s="3">
        <v>2</v>
      </c>
      <c r="G13" s="3">
        <v>1</v>
      </c>
      <c r="H13" s="3">
        <f>ROUNDDOWN((183245+71188)/F1*H1,0)</f>
        <v>255</v>
      </c>
      <c r="I13" s="3" t="s">
        <v>289</v>
      </c>
      <c r="J13" s="3" t="s">
        <v>290</v>
      </c>
      <c r="K13" s="3">
        <v>0.64700000000000002</v>
      </c>
      <c r="L13" s="3">
        <v>0.251</v>
      </c>
      <c r="M13" s="3">
        <v>2</v>
      </c>
      <c r="N13" s="3">
        <f>ROUNDDOWN((171517+84027+6785+6453+2659+661)/F1*H1,0)</f>
        <v>272</v>
      </c>
      <c r="O13" s="3" t="s">
        <v>291</v>
      </c>
      <c r="P13" s="3" t="s">
        <v>292</v>
      </c>
      <c r="Q13" s="3">
        <v>0.57899999999999996</v>
      </c>
      <c r="R13" s="3">
        <v>0.28399999999999997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</row>
    <row r="14" spans="1:324" x14ac:dyDescent="0.3">
      <c r="A14" s="3" t="s">
        <v>293</v>
      </c>
      <c r="B14" s="3" t="s">
        <v>294</v>
      </c>
      <c r="C14" s="3" t="s">
        <v>295</v>
      </c>
      <c r="D14" s="3">
        <f>ROUNDDOWN((875000/F1)*H1,0)</f>
        <v>877</v>
      </c>
      <c r="E14" s="3">
        <v>4</v>
      </c>
      <c r="F14" s="3">
        <v>2</v>
      </c>
      <c r="G14" s="3">
        <v>1</v>
      </c>
      <c r="H14" s="3">
        <f>ROUNDDOWN(458569/F1*H1,0)</f>
        <v>459</v>
      </c>
      <c r="I14" s="3" t="s">
        <v>296</v>
      </c>
      <c r="J14" s="3" t="s">
        <v>297</v>
      </c>
      <c r="K14" s="3">
        <v>0.28699999999999998</v>
      </c>
      <c r="L14" s="3">
        <v>0.67800000000000005</v>
      </c>
      <c r="M14" s="3">
        <v>2</v>
      </c>
      <c r="N14" s="3">
        <f>ROUNDDOWN(391333/F1*H1,0)</f>
        <v>392</v>
      </c>
      <c r="O14" s="3" t="s">
        <v>298</v>
      </c>
      <c r="P14" s="3" t="s">
        <v>299</v>
      </c>
      <c r="Q14" s="3">
        <v>0.317</v>
      </c>
      <c r="R14" s="3">
        <v>0.64100000000000001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</row>
    <row r="15" spans="1:324" x14ac:dyDescent="0.3">
      <c r="A15" s="4" t="s">
        <v>300</v>
      </c>
      <c r="B15" s="3" t="s">
        <v>301</v>
      </c>
      <c r="C15" s="3" t="s">
        <v>302</v>
      </c>
      <c r="D15" s="3">
        <f>ROUNDDOWN(6050000/F1*H1,0)</f>
        <v>6067</v>
      </c>
      <c r="E15" s="3">
        <v>20</v>
      </c>
      <c r="F15" s="3">
        <v>18</v>
      </c>
      <c r="G15" s="3">
        <v>1</v>
      </c>
      <c r="H15" s="3">
        <f>ROUNDDOWN((239943+85027)/F1*H1,0)</f>
        <v>325</v>
      </c>
      <c r="I15" s="3" t="s">
        <v>303</v>
      </c>
      <c r="J15" s="3" t="s">
        <v>304</v>
      </c>
      <c r="K15" s="3">
        <v>0.73799999999999999</v>
      </c>
      <c r="L15" s="3">
        <v>0.26200000000000001</v>
      </c>
      <c r="M15" s="3">
        <v>2</v>
      </c>
      <c r="N15" s="3">
        <f>ROUNDDOWN((234896+63142)/F1*H1,0)</f>
        <v>298</v>
      </c>
      <c r="O15" s="3" t="s">
        <v>305</v>
      </c>
      <c r="P15" s="3" t="s">
        <v>306</v>
      </c>
      <c r="Q15" s="3">
        <v>0.78800000000000003</v>
      </c>
      <c r="R15" s="3">
        <v>0.21199999999999999</v>
      </c>
      <c r="S15" s="3">
        <v>3</v>
      </c>
      <c r="T15" s="3">
        <f>ROUNDDOWN((172997+133851)/F1*H1,0)</f>
        <v>307</v>
      </c>
      <c r="U15" s="3" t="s">
        <v>307</v>
      </c>
      <c r="V15" s="3" t="s">
        <v>308</v>
      </c>
      <c r="W15" s="3">
        <v>0.56399999999999995</v>
      </c>
      <c r="X15" s="3">
        <v>0.436</v>
      </c>
      <c r="Y15" s="3">
        <v>4</v>
      </c>
      <c r="Z15" s="3">
        <f>ROUNDDOWN((187219+35518)/F1*H1,0)</f>
        <v>223</v>
      </c>
      <c r="AA15" s="3" t="s">
        <v>309</v>
      </c>
      <c r="AB15" s="3" t="s">
        <v>310</v>
      </c>
      <c r="AC15" s="3">
        <v>0.84099999999999997</v>
      </c>
      <c r="AD15" s="3">
        <v>0.159</v>
      </c>
      <c r="AE15" s="3">
        <v>5</v>
      </c>
      <c r="AF15" s="3">
        <f>ROUNDDOWN((255661+96200+9408)/F1*H1,0)</f>
        <v>362</v>
      </c>
      <c r="AG15" s="3" t="s">
        <v>311</v>
      </c>
      <c r="AH15" s="3" t="s">
        <v>312</v>
      </c>
      <c r="AI15" s="3">
        <v>0.70799999999999996</v>
      </c>
      <c r="AJ15" s="3">
        <v>0.26600000000000001</v>
      </c>
      <c r="AK15" s="3">
        <v>6</v>
      </c>
      <c r="AL15" s="3">
        <f>ROUNDDOWN((213777+183891+7079)/F1*H1,0)</f>
        <v>405</v>
      </c>
      <c r="AM15" s="3" t="s">
        <v>313</v>
      </c>
      <c r="AN15" s="3" t="s">
        <v>314</v>
      </c>
      <c r="AO15" s="3">
        <v>0.52800000000000002</v>
      </c>
      <c r="AP15" s="3">
        <v>0.45400000000000001</v>
      </c>
      <c r="AQ15" s="3">
        <v>7</v>
      </c>
      <c r="AR15" s="3">
        <f>ROUNDDOWN((249383+41390+19355)/F1*H1,0)</f>
        <v>311</v>
      </c>
      <c r="AS15" s="3" t="s">
        <v>315</v>
      </c>
      <c r="AT15" s="3" t="s">
        <v>316</v>
      </c>
      <c r="AU15" s="3">
        <v>0.80400000000000005</v>
      </c>
      <c r="AV15" s="3">
        <v>0.13300000000000001</v>
      </c>
      <c r="AW15" s="3">
        <v>8</v>
      </c>
      <c r="AX15" s="3">
        <f>ROUNDDOWN((186251+68327)/F1*H1,0)</f>
        <v>255</v>
      </c>
      <c r="AY15" s="3" t="s">
        <v>317</v>
      </c>
      <c r="AZ15" s="3" t="s">
        <v>318</v>
      </c>
      <c r="BA15" s="3">
        <v>0.73199999999999998</v>
      </c>
      <c r="BB15" s="3">
        <v>0.26800000000000002</v>
      </c>
      <c r="BC15" s="3">
        <v>9</v>
      </c>
      <c r="BD15" s="3">
        <f>ROUNDDOWN((262045+107125)/F1*H1,0)</f>
        <v>370</v>
      </c>
      <c r="BE15" s="3" t="s">
        <v>319</v>
      </c>
      <c r="BF15" s="3" t="s">
        <v>320</v>
      </c>
      <c r="BG15" s="3">
        <v>0.71</v>
      </c>
      <c r="BH15" s="3">
        <v>0.28999999999999998</v>
      </c>
      <c r="BI15" s="3">
        <v>10</v>
      </c>
      <c r="BJ15" s="3">
        <f>ROUNDDOWN((202402+114442)/F1*H1,0)</f>
        <v>317</v>
      </c>
      <c r="BK15" s="3" t="s">
        <v>321</v>
      </c>
      <c r="BL15" s="3" t="s">
        <v>322</v>
      </c>
      <c r="BM15" s="3">
        <v>0.63900000000000001</v>
      </c>
      <c r="BN15" s="3">
        <v>0.36099999999999999</v>
      </c>
      <c r="BO15" s="3">
        <v>11</v>
      </c>
      <c r="BP15" s="3">
        <f>ROUNDDOWN((194557+112807)/F1*H1,0)</f>
        <v>308</v>
      </c>
      <c r="BQ15" s="3" t="s">
        <v>323</v>
      </c>
      <c r="BR15" s="3" t="s">
        <v>324</v>
      </c>
      <c r="BS15" s="3">
        <v>0.63300000000000001</v>
      </c>
      <c r="BT15" s="3">
        <v>0.36699999999999999</v>
      </c>
      <c r="BU15" s="3">
        <v>12</v>
      </c>
      <c r="BV15" s="3">
        <f>ROUNDDOWN((194839+127577)/F1*H1,0)</f>
        <v>323</v>
      </c>
      <c r="BW15" s="3" t="s">
        <v>325</v>
      </c>
      <c r="BX15" s="3" t="s">
        <v>326</v>
      </c>
      <c r="BY15" s="3">
        <v>0.39600000000000002</v>
      </c>
      <c r="BZ15" s="3">
        <v>0.60399999999999998</v>
      </c>
      <c r="CA15" s="3">
        <v>13</v>
      </c>
      <c r="CB15" s="3">
        <f>ROUNDDOWN((181373+151648)/F1*H1,0)</f>
        <v>333</v>
      </c>
      <c r="CC15" s="3" t="s">
        <v>327</v>
      </c>
      <c r="CD15" s="3" t="s">
        <v>328</v>
      </c>
      <c r="CE15" s="3">
        <v>0.45500000000000002</v>
      </c>
      <c r="CF15" s="3">
        <v>0.54500000000000004</v>
      </c>
      <c r="CG15" s="3">
        <v>14</v>
      </c>
      <c r="CH15" s="3">
        <f>ROUNDDOWN((203209+197835)/F1*H1,0)</f>
        <v>402</v>
      </c>
      <c r="CI15" s="3" t="s">
        <v>329</v>
      </c>
      <c r="CJ15" s="3" t="s">
        <v>330</v>
      </c>
      <c r="CK15" s="3">
        <v>0.50700000000000001</v>
      </c>
      <c r="CL15" s="3">
        <v>0.49299999999999999</v>
      </c>
      <c r="CM15" s="3">
        <v>15</v>
      </c>
      <c r="CN15" s="3">
        <f>ROUNDDOWN((244947+88559)/F1*H1,0)</f>
        <v>334</v>
      </c>
      <c r="CO15" s="3" t="s">
        <v>331</v>
      </c>
      <c r="CP15" s="3" t="s">
        <v>332</v>
      </c>
      <c r="CQ15" s="3">
        <v>0.26600000000000001</v>
      </c>
      <c r="CR15" s="3">
        <v>0.73399999999999999</v>
      </c>
      <c r="CS15" s="3">
        <v>16</v>
      </c>
      <c r="CT15" s="3">
        <f>ROUNDDOWN((218839+119313)/F1*H1,0)</f>
        <v>339</v>
      </c>
      <c r="CU15" s="3" t="s">
        <v>333</v>
      </c>
      <c r="CV15" s="3" t="s">
        <v>334</v>
      </c>
      <c r="CW15" s="3">
        <v>0.64700000000000002</v>
      </c>
      <c r="CX15" s="3">
        <v>0.35299999999999998</v>
      </c>
      <c r="CY15" s="3">
        <v>17</v>
      </c>
      <c r="CZ15" s="3">
        <f>ROUNDDOWN((156011+143863)/F1*H1,0)</f>
        <v>300</v>
      </c>
      <c r="DA15" s="3" t="s">
        <v>335</v>
      </c>
      <c r="DB15" s="3" t="s">
        <v>336</v>
      </c>
      <c r="DC15" s="3">
        <v>0.52</v>
      </c>
      <c r="DD15">
        <v>0.48</v>
      </c>
      <c r="DE15">
        <v>18</v>
      </c>
      <c r="DF15">
        <f>ROUNDDOWN((261840+110039)/F1*H1,0)</f>
        <v>372</v>
      </c>
      <c r="DG15" t="s">
        <v>337</v>
      </c>
      <c r="DH15" t="s">
        <v>338</v>
      </c>
      <c r="DI15">
        <v>0.29599999999999999</v>
      </c>
      <c r="DJ15">
        <v>0.70399999999999996</v>
      </c>
    </row>
    <row r="16" spans="1:324" x14ac:dyDescent="0.3">
      <c r="A16" s="3" t="s">
        <v>339</v>
      </c>
      <c r="B16" s="3" t="s">
        <v>25</v>
      </c>
      <c r="C16" s="3" t="s">
        <v>25</v>
      </c>
      <c r="D16" s="3">
        <f>ROUNDDOWN(3068542/F1*H1,0)</f>
        <v>3077</v>
      </c>
      <c r="E16" s="3">
        <v>11</v>
      </c>
      <c r="F16" s="3">
        <v>9</v>
      </c>
      <c r="G16" s="3">
        <v>1</v>
      </c>
      <c r="H16" s="3">
        <f>ROUNDDOWN((185180+132247+9521)/F1*H1,0)</f>
        <v>327</v>
      </c>
      <c r="I16" s="3" t="s">
        <v>340</v>
      </c>
      <c r="J16" s="3" t="s">
        <v>341</v>
      </c>
      <c r="K16" s="3">
        <v>0.56599999999999995</v>
      </c>
      <c r="L16" s="3">
        <v>0.40400000000000003</v>
      </c>
      <c r="M16" s="3">
        <v>2</v>
      </c>
      <c r="N16" s="3">
        <f>ROUNDDOWN((183601+114967)/F1*H1,0)</f>
        <v>299</v>
      </c>
      <c r="O16" s="3" t="s">
        <v>342</v>
      </c>
      <c r="P16" s="3" t="s">
        <v>343</v>
      </c>
      <c r="Q16" s="3">
        <v>0.38500000000000001</v>
      </c>
      <c r="R16" s="3">
        <v>0.61499999999999999</v>
      </c>
      <c r="S16" s="3">
        <v>3</v>
      </c>
      <c r="T16" s="3">
        <f>ROUNDDOWN((220989+104762)/F1*H1,0)</f>
        <v>326</v>
      </c>
      <c r="U16" s="3" t="s">
        <v>344</v>
      </c>
      <c r="V16" s="3" t="s">
        <v>345</v>
      </c>
      <c r="W16" s="3">
        <v>0.32200000000000001</v>
      </c>
      <c r="X16" s="3">
        <v>0.67800000000000005</v>
      </c>
      <c r="Y16" s="3">
        <v>4</v>
      </c>
      <c r="Z16" s="3">
        <f>ROUNDDOWN((225531+112954)/F1*H1,0)</f>
        <v>339</v>
      </c>
      <c r="AA16" s="3" t="s">
        <v>346</v>
      </c>
      <c r="AB16" s="3" t="s">
        <v>347</v>
      </c>
      <c r="AC16" s="3">
        <v>0.33400000000000002</v>
      </c>
      <c r="AD16" s="3">
        <v>0.66600000000000004</v>
      </c>
      <c r="AE16" s="3">
        <v>5</v>
      </c>
      <c r="AF16" s="3">
        <f>ROUNDDOWN((208212+191226+16788)/F1*H1,0)</f>
        <v>417</v>
      </c>
      <c r="AG16" s="3" t="s">
        <v>348</v>
      </c>
      <c r="AH16" s="3" t="s">
        <v>349</v>
      </c>
      <c r="AI16" s="3">
        <v>0.45900000000000002</v>
      </c>
      <c r="AJ16" s="3">
        <v>0.5</v>
      </c>
      <c r="AK16" s="3">
        <v>6</v>
      </c>
      <c r="AL16" s="3">
        <f>ROUNDDOWN((225319+91103+11791)/F1*H1,0)</f>
        <v>329</v>
      </c>
      <c r="AM16" s="3" t="s">
        <v>350</v>
      </c>
      <c r="AN16" s="3" t="s">
        <v>351</v>
      </c>
      <c r="AO16" s="3">
        <v>0.27800000000000002</v>
      </c>
      <c r="AP16" s="3">
        <v>0.68700000000000006</v>
      </c>
      <c r="AQ16" s="3">
        <v>7</v>
      </c>
      <c r="AR16" s="3">
        <f>ROUNDDOWN((176422+106146)/F1*H1,0)</f>
        <v>283</v>
      </c>
      <c r="AS16" s="3" t="s">
        <v>352</v>
      </c>
      <c r="AT16" s="3" t="s">
        <v>353</v>
      </c>
      <c r="AU16" s="3">
        <v>0.624</v>
      </c>
      <c r="AV16" s="3">
        <v>0.376</v>
      </c>
      <c r="AW16" s="3">
        <v>8</v>
      </c>
      <c r="AX16" s="3">
        <f>ROUNDDOWN((214643+95691+10283)/F1*H1,0)</f>
        <v>321</v>
      </c>
      <c r="AY16" s="3" t="s">
        <v>354</v>
      </c>
      <c r="AZ16" s="3" t="s">
        <v>355</v>
      </c>
      <c r="BA16" s="3">
        <v>0.29799999999999999</v>
      </c>
      <c r="BB16" s="3">
        <v>0.66900000000000004</v>
      </c>
      <c r="BC16" s="3">
        <v>9</v>
      </c>
      <c r="BD16" s="3">
        <f>ROUNDDOWN((222057+122566+14415)/F1*H1,0)</f>
        <v>360</v>
      </c>
      <c r="BE16" s="3" t="s">
        <v>356</v>
      </c>
      <c r="BF16" s="3" t="s">
        <v>357</v>
      </c>
      <c r="BG16" s="3">
        <v>0.34100000000000003</v>
      </c>
      <c r="BH16" s="3">
        <v>0.61799999999999999</v>
      </c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</row>
    <row r="17" spans="1:107" x14ac:dyDescent="0.3">
      <c r="A17" s="3" t="s">
        <v>358</v>
      </c>
      <c r="B17" s="3" t="s">
        <v>359</v>
      </c>
      <c r="C17" s="3" t="s">
        <v>360</v>
      </c>
      <c r="D17" s="3">
        <f>ROUNDDOWN(1700130/F1*H1,0)</f>
        <v>1704</v>
      </c>
      <c r="E17" s="3">
        <v>6</v>
      </c>
      <c r="F17" s="3">
        <v>4</v>
      </c>
      <c r="G17" s="3">
        <v>1</v>
      </c>
      <c r="H17" s="3">
        <f>ROUNDDOWN(413869/F1*H1,0)</f>
        <v>415</v>
      </c>
      <c r="I17" s="3" t="s">
        <v>361</v>
      </c>
      <c r="J17" s="3" t="s">
        <v>362</v>
      </c>
      <c r="K17" s="3">
        <v>0.48599999999999999</v>
      </c>
      <c r="L17" s="3">
        <v>0.51200000000000001</v>
      </c>
      <c r="M17" s="3">
        <v>2</v>
      </c>
      <c r="N17" s="3">
        <f>ROUNDDOWN(394441/F1*H1,0)</f>
        <v>395</v>
      </c>
      <c r="O17" s="3" t="s">
        <v>363</v>
      </c>
      <c r="P17" s="3" t="s">
        <v>364</v>
      </c>
      <c r="Q17" s="3">
        <v>0.49909999999999999</v>
      </c>
      <c r="R17" s="3">
        <v>0.49909999999999999</v>
      </c>
      <c r="S17" s="3">
        <v>3</v>
      </c>
      <c r="T17" s="3">
        <f>ROUNDDOWN(447947/F1*H1,0)</f>
        <v>449</v>
      </c>
      <c r="U17" s="3" t="s">
        <v>365</v>
      </c>
      <c r="V17" s="3" t="s">
        <v>366</v>
      </c>
      <c r="W17" s="3">
        <v>0.48899999999999999</v>
      </c>
      <c r="X17" s="3">
        <v>0.47499999999999998</v>
      </c>
      <c r="Y17" s="3">
        <v>4</v>
      </c>
      <c r="Z17" s="3">
        <f>ROUNDDOWN(383022/F1*H1,0)</f>
        <v>384</v>
      </c>
      <c r="AA17" s="3" t="s">
        <v>367</v>
      </c>
      <c r="AB17" s="3" t="s">
        <v>368</v>
      </c>
      <c r="AC17" s="3">
        <v>0.377</v>
      </c>
      <c r="AD17" s="3">
        <v>0.61899999999999999</v>
      </c>
      <c r="AE17" s="3"/>
      <c r="AF17" s="3"/>
      <c r="AG17" s="3"/>
      <c r="AH17" s="3"/>
      <c r="AI17" s="3"/>
      <c r="AJ17" s="3"/>
      <c r="AK17" s="3"/>
      <c r="AL17" s="3"/>
      <c r="AM17" s="3" t="s">
        <v>369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</row>
    <row r="18" spans="1:107" x14ac:dyDescent="0.3">
      <c r="A18" s="3" t="s">
        <v>370</v>
      </c>
      <c r="B18" s="3" t="s">
        <v>371</v>
      </c>
      <c r="C18" s="3" t="s">
        <v>372</v>
      </c>
      <c r="D18" s="3">
        <f>ROUNDDOWN(1375125/F1*H1,0)</f>
        <v>1379</v>
      </c>
      <c r="E18" s="3">
        <v>6</v>
      </c>
      <c r="F18" s="3">
        <v>4</v>
      </c>
      <c r="G18" s="3">
        <v>1</v>
      </c>
      <c r="H18" s="3">
        <f>ROUNDDOWN((208229+84393)/F1*H1,0)</f>
        <v>293</v>
      </c>
      <c r="I18" s="3" t="s">
        <v>373</v>
      </c>
      <c r="J18" s="3" t="s">
        <v>374</v>
      </c>
      <c r="K18" s="3">
        <v>0.28799999999999998</v>
      </c>
      <c r="L18" s="3">
        <v>0.71099999999999997</v>
      </c>
      <c r="M18" s="3">
        <v>2</v>
      </c>
      <c r="N18" s="3">
        <f>ROUNDDOWN((185464+136650+14201)/F1*H1,0)</f>
        <v>337</v>
      </c>
      <c r="O18" s="3" t="s">
        <v>375</v>
      </c>
      <c r="P18" s="3" t="s">
        <v>376</v>
      </c>
      <c r="Q18" s="3">
        <v>0.40600000000000003</v>
      </c>
      <c r="R18" s="3">
        <v>0.55100000000000005</v>
      </c>
      <c r="S18" s="3">
        <v>3</v>
      </c>
      <c r="T18" s="3">
        <f>ROUNDDOWN((220049+178773+11596)/F1*H1,0)</f>
        <v>411</v>
      </c>
      <c r="U18" s="3" t="s">
        <v>377</v>
      </c>
      <c r="V18" s="3" t="s">
        <v>378</v>
      </c>
      <c r="W18" s="3">
        <v>0.53600000000000003</v>
      </c>
      <c r="X18" s="3">
        <v>0.435</v>
      </c>
      <c r="Y18" s="3">
        <v>4</v>
      </c>
      <c r="Z18" s="3">
        <f>ROUNDDOWN((203432+116166)/F1*H1,0)</f>
        <v>320</v>
      </c>
      <c r="AA18" s="3" t="s">
        <v>379</v>
      </c>
      <c r="AB18" s="3" t="s">
        <v>380</v>
      </c>
      <c r="AC18" s="3">
        <v>0.36299999999999999</v>
      </c>
      <c r="AD18" s="3">
        <v>0.63600000000000001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</row>
    <row r="19" spans="1:107" x14ac:dyDescent="0.3">
      <c r="A19" s="3" t="s">
        <v>381</v>
      </c>
      <c r="B19" s="3" t="s">
        <v>382</v>
      </c>
      <c r="C19" s="3" t="s">
        <v>383</v>
      </c>
      <c r="D19" s="3">
        <f>ROUNDDOWN(2150954/F1*H1,0)</f>
        <v>2157</v>
      </c>
      <c r="E19" s="3">
        <v>8</v>
      </c>
      <c r="F19" s="3">
        <v>6</v>
      </c>
      <c r="G19" s="3">
        <v>1</v>
      </c>
      <c r="H19" s="3">
        <f>ROUNDDOWN((246329+82141)/F1*H1,0)</f>
        <v>329</v>
      </c>
      <c r="I19" s="3" t="s">
        <v>384</v>
      </c>
      <c r="J19" s="3" t="s">
        <v>385</v>
      </c>
      <c r="K19" s="3">
        <v>0.75</v>
      </c>
      <c r="L19" s="3">
        <v>0.25</v>
      </c>
      <c r="M19" s="3">
        <v>2</v>
      </c>
      <c r="N19" s="3">
        <f>ROUNDDOWN(360399/F1*H1,0)</f>
        <v>361</v>
      </c>
      <c r="O19" s="3" t="s">
        <v>386</v>
      </c>
      <c r="P19" s="3" t="s">
        <v>387</v>
      </c>
      <c r="Q19" s="3">
        <v>0.26200000000000001</v>
      </c>
      <c r="R19" s="3">
        <v>0.70899999999999996</v>
      </c>
      <c r="S19" s="3">
        <v>3</v>
      </c>
      <c r="T19" s="3">
        <f>ROUNDDOWN(368097/F1*H1,0)</f>
        <v>369</v>
      </c>
      <c r="U19" s="3" t="s">
        <v>388</v>
      </c>
      <c r="V19" s="3" t="s">
        <v>389</v>
      </c>
      <c r="W19" s="3">
        <v>0.627</v>
      </c>
      <c r="X19" s="3">
        <v>0.373</v>
      </c>
      <c r="Y19" s="3">
        <v>4</v>
      </c>
      <c r="Z19" s="3">
        <f>ROUNDDOWN(382509/F1*H1,0)</f>
        <v>383</v>
      </c>
      <c r="AA19" s="3" t="s">
        <v>390</v>
      </c>
      <c r="AB19" s="3" t="s">
        <v>391</v>
      </c>
      <c r="AC19" s="3">
        <v>0.67100000000000004</v>
      </c>
      <c r="AD19" s="3">
        <v>0.32900000000000001</v>
      </c>
      <c r="AE19" s="3">
        <v>5</v>
      </c>
      <c r="AF19" s="3">
        <f>ROUNDDOWN(297970/F1*H1,0)</f>
        <v>298</v>
      </c>
      <c r="AG19" s="3" t="s">
        <v>392</v>
      </c>
      <c r="AH19" s="3" t="s">
        <v>393</v>
      </c>
      <c r="AI19" s="3">
        <v>0.84199999999999997</v>
      </c>
      <c r="AJ19" s="3">
        <v>0.158</v>
      </c>
      <c r="AK19" s="3">
        <v>6</v>
      </c>
      <c r="AL19" s="3">
        <f>ROUNDDOWN(378450/F1*H1,0)</f>
        <v>379</v>
      </c>
      <c r="AM19" s="3" t="s">
        <v>394</v>
      </c>
      <c r="AN19" s="3" t="s">
        <v>395</v>
      </c>
      <c r="AO19" s="3">
        <v>0.57299999999999995</v>
      </c>
      <c r="AP19" s="3">
        <v>0.40899999999999997</v>
      </c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</row>
    <row r="20" spans="1:107" x14ac:dyDescent="0.3">
      <c r="A20" s="3" t="s">
        <v>396</v>
      </c>
      <c r="B20" s="3" t="s">
        <v>397</v>
      </c>
      <c r="C20" s="3" t="s">
        <v>398</v>
      </c>
      <c r="D20" s="3">
        <f>ROUNDDOWN(2180000/F1*H1,0)</f>
        <v>2186</v>
      </c>
      <c r="E20" s="3">
        <v>8</v>
      </c>
      <c r="F20" s="3">
        <v>6</v>
      </c>
      <c r="G20" s="3">
        <v>1</v>
      </c>
      <c r="H20" s="3">
        <f>ROUNDDOWN(374369/F1*H1,0)</f>
        <v>375</v>
      </c>
      <c r="I20" s="3" t="s">
        <v>399</v>
      </c>
      <c r="J20" s="3" t="s">
        <v>400</v>
      </c>
      <c r="K20" s="3">
        <v>0.25</v>
      </c>
      <c r="L20" s="3">
        <v>0.72</v>
      </c>
      <c r="M20" s="3">
        <v>2</v>
      </c>
      <c r="N20" s="3">
        <f>ROUNDDOWN(316982/F1*H1,0)</f>
        <v>317</v>
      </c>
      <c r="O20" s="3" t="s">
        <v>401</v>
      </c>
      <c r="P20" s="3" t="s">
        <v>402</v>
      </c>
      <c r="Q20" s="3">
        <v>0.64</v>
      </c>
      <c r="R20" s="3">
        <v>0.15</v>
      </c>
      <c r="S20" s="3">
        <v>3</v>
      </c>
      <c r="T20" s="3">
        <f>ROUNDDOWN(340120/F1*H1,0)</f>
        <v>341</v>
      </c>
      <c r="U20" s="3" t="s">
        <v>403</v>
      </c>
      <c r="V20" s="3" t="s">
        <v>404</v>
      </c>
      <c r="W20" s="3">
        <v>0.18</v>
      </c>
      <c r="X20" s="3">
        <v>0.68</v>
      </c>
      <c r="Y20" s="3">
        <v>4</v>
      </c>
      <c r="Z20" s="3">
        <f>ROUNDDOWN(306578/F1*H1,0)</f>
        <v>307</v>
      </c>
      <c r="AA20" s="3" t="s">
        <v>405</v>
      </c>
      <c r="AB20" s="3" t="s">
        <v>406</v>
      </c>
      <c r="AC20" s="3">
        <v>0.6</v>
      </c>
      <c r="AD20" s="3">
        <v>0.25</v>
      </c>
      <c r="AE20" s="3">
        <v>5</v>
      </c>
      <c r="AF20" s="3">
        <f>ROUNDDOWN(309556/F1*H1,0)</f>
        <v>310</v>
      </c>
      <c r="AG20" s="3" t="s">
        <v>407</v>
      </c>
      <c r="AH20" s="3" t="s">
        <v>408</v>
      </c>
      <c r="AI20" s="3">
        <v>0.16</v>
      </c>
      <c r="AJ20" s="3">
        <v>0.33</v>
      </c>
      <c r="AK20" s="3">
        <v>6</v>
      </c>
      <c r="AL20" s="3">
        <f>ROUNDDOWN(373996/F1*H1,0)</f>
        <v>375</v>
      </c>
      <c r="AM20" s="3" t="s">
        <v>409</v>
      </c>
      <c r="AN20" s="3" t="s">
        <v>410</v>
      </c>
      <c r="AO20" s="3">
        <v>0.71</v>
      </c>
      <c r="AP20" s="3">
        <v>0.26</v>
      </c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</row>
    <row r="21" spans="1:107" x14ac:dyDescent="0.3">
      <c r="A21" s="3" t="s">
        <v>411</v>
      </c>
      <c r="B21" s="3" t="s">
        <v>412</v>
      </c>
      <c r="C21" s="3" t="s">
        <v>413</v>
      </c>
      <c r="D21" s="3">
        <f>ROUNDDOWN(828305/F1*H1,0)</f>
        <v>830</v>
      </c>
      <c r="E21" s="3">
        <v>4</v>
      </c>
      <c r="F21" s="3">
        <v>2</v>
      </c>
      <c r="G21" s="3">
        <v>1</v>
      </c>
      <c r="H21" s="3">
        <f>ROUNDDOWN(447987/F1*H1,0)</f>
        <v>449</v>
      </c>
      <c r="I21" s="3" t="s">
        <v>414</v>
      </c>
      <c r="J21" s="3" t="s">
        <v>415</v>
      </c>
      <c r="K21" s="3">
        <v>0.36799999999999999</v>
      </c>
      <c r="L21" s="3">
        <v>0.60399999999999998</v>
      </c>
      <c r="M21" s="3">
        <v>2</v>
      </c>
      <c r="N21" s="3">
        <f>ROUNDDOWN(380324/F1*H1,0)</f>
        <v>381</v>
      </c>
      <c r="O21" s="3" t="s">
        <v>416</v>
      </c>
      <c r="P21" s="3" t="s">
        <v>417</v>
      </c>
      <c r="Q21" s="3">
        <v>0.46</v>
      </c>
      <c r="R21" s="3">
        <v>0.52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</row>
    <row r="22" spans="1:107" x14ac:dyDescent="0.3">
      <c r="A22" s="3" t="s">
        <v>418</v>
      </c>
      <c r="B22" s="3" t="s">
        <v>25</v>
      </c>
      <c r="C22" s="3" t="s">
        <v>25</v>
      </c>
      <c r="D22" s="3">
        <f>ROUNDDOWN(2975000/F1*H1,0)</f>
        <v>2983</v>
      </c>
      <c r="E22" s="3">
        <v>10</v>
      </c>
      <c r="F22" s="3">
        <v>8</v>
      </c>
      <c r="G22" s="3">
        <v>1</v>
      </c>
      <c r="H22" s="3">
        <f>ROUNDDOWN((250901+143877+746)/F1*H1,0)</f>
        <v>396</v>
      </c>
      <c r="I22" s="3" t="s">
        <v>419</v>
      </c>
      <c r="J22" s="3" t="s">
        <v>420</v>
      </c>
      <c r="K22" s="3">
        <v>0.36399999999999999</v>
      </c>
      <c r="L22" s="3">
        <v>0.63400000000000001</v>
      </c>
      <c r="M22" s="3">
        <v>2</v>
      </c>
      <c r="N22" s="3">
        <f>ROUNDDOWN((106355+244836+835)/F1*H1,0)</f>
        <v>353</v>
      </c>
      <c r="O22" s="3" t="s">
        <v>421</v>
      </c>
      <c r="P22" s="3" t="s">
        <v>422</v>
      </c>
      <c r="Q22" s="3">
        <v>0.67700000000000005</v>
      </c>
      <c r="R22" s="3">
        <v>0.32</v>
      </c>
      <c r="S22" s="3">
        <v>3</v>
      </c>
      <c r="T22" s="3">
        <f>ROUNDDOWN((112117+260358+731)/F1*H1,0)</f>
        <v>374</v>
      </c>
      <c r="U22" s="3" t="s">
        <v>423</v>
      </c>
      <c r="V22" s="3" t="s">
        <v>424</v>
      </c>
      <c r="W22" s="3">
        <v>0.69799999999999995</v>
      </c>
      <c r="X22" s="3">
        <v>0.3</v>
      </c>
      <c r="Y22" s="3">
        <v>4</v>
      </c>
      <c r="Z22" s="3">
        <f>ROUNDDOWN((71671+282119)/F1*H1,0)</f>
        <v>354</v>
      </c>
      <c r="AA22" s="3" t="s">
        <v>425</v>
      </c>
      <c r="AB22" s="3" t="s">
        <v>426</v>
      </c>
      <c r="AC22" s="3">
        <v>0.79600000000000004</v>
      </c>
      <c r="AD22" s="3">
        <v>0.20200000000000001</v>
      </c>
      <c r="AE22" s="3">
        <v>5</v>
      </c>
      <c r="AF22" s="3">
        <f>ROUNDDOWN((123535+274210+1104)/F1*H1,0)</f>
        <v>399</v>
      </c>
      <c r="AG22" s="3" t="s">
        <v>427</v>
      </c>
      <c r="AH22" s="3" t="s">
        <v>428</v>
      </c>
      <c r="AI22" s="3">
        <v>0.68799999999999994</v>
      </c>
      <c r="AJ22" s="3">
        <v>0.31</v>
      </c>
      <c r="AK22" s="3">
        <v>6</v>
      </c>
      <c r="AL22" s="3">
        <f>ROUNDDOWN((143599+215540+6893+46+356)/F1*H1,0)</f>
        <v>367</v>
      </c>
      <c r="AM22" s="3" t="s">
        <v>429</v>
      </c>
      <c r="AN22" s="3" t="s">
        <v>430</v>
      </c>
      <c r="AO22" s="3">
        <v>0.58799999999999997</v>
      </c>
      <c r="AP22" s="3">
        <v>0.39200000000000002</v>
      </c>
      <c r="AQ22" s="3">
        <v>7</v>
      </c>
      <c r="AR22" s="3">
        <f>ROUNDDOWN((92825+237084+16+21+1052)/F1*H1,0)</f>
        <v>331</v>
      </c>
      <c r="AS22" s="3" t="s">
        <v>431</v>
      </c>
      <c r="AT22" s="3" t="s">
        <v>432</v>
      </c>
      <c r="AU22" s="3">
        <v>0.71599999999999997</v>
      </c>
      <c r="AV22" s="3">
        <v>0.28000000000000003</v>
      </c>
      <c r="AW22" s="3">
        <v>8</v>
      </c>
      <c r="AX22" s="3">
        <f>ROUNDDOWN((55383+55452+5+213)/F1*H1,0)</f>
        <v>111</v>
      </c>
      <c r="AY22" s="3" t="s">
        <v>433</v>
      </c>
      <c r="AZ22" s="3" t="s">
        <v>434</v>
      </c>
      <c r="BA22" s="3">
        <v>0.68200000000000005</v>
      </c>
      <c r="BB22" s="3">
        <v>0.316</v>
      </c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</row>
    <row r="23" spans="1:107" x14ac:dyDescent="0.3">
      <c r="A23" s="3" t="s">
        <v>435</v>
      </c>
      <c r="B23" s="3" t="s">
        <v>436</v>
      </c>
      <c r="C23" s="3" t="s">
        <v>437</v>
      </c>
      <c r="D23" s="3">
        <f>ROUNDDOWN(3658005/F1*H1,0)</f>
        <v>3668</v>
      </c>
      <c r="E23" s="3">
        <v>11</v>
      </c>
      <c r="F23" s="3">
        <v>9</v>
      </c>
      <c r="G23" s="3">
        <v>1</v>
      </c>
      <c r="H23" s="3">
        <f>ROUNDDOWN(372716/F1*H1,0)</f>
        <v>373</v>
      </c>
      <c r="I23" s="3" t="s">
        <v>438</v>
      </c>
      <c r="J23" s="3" t="s">
        <v>439</v>
      </c>
      <c r="K23" s="3">
        <v>0.96499999999999997</v>
      </c>
      <c r="L23" s="3">
        <v>4.0000000000000001E-3</v>
      </c>
      <c r="M23" s="3">
        <v>2</v>
      </c>
      <c r="N23" s="3">
        <f>ROUNDDOWN(394084/F1*H1,0)</f>
        <v>395</v>
      </c>
      <c r="O23" s="3" t="s">
        <v>440</v>
      </c>
      <c r="P23" s="3" t="s">
        <v>441</v>
      </c>
      <c r="Q23" s="3">
        <v>0.65300000000000002</v>
      </c>
      <c r="R23" s="3">
        <v>0.34599999999999997</v>
      </c>
      <c r="S23" s="3">
        <v>3</v>
      </c>
      <c r="T23" s="3">
        <f>ROUNDDOWN(388210/F1*H1,0)</f>
        <v>389</v>
      </c>
      <c r="U23" s="3" t="s">
        <v>442</v>
      </c>
      <c r="V23" s="3" t="s">
        <v>25</v>
      </c>
      <c r="W23" s="3">
        <v>0.97699999999999998</v>
      </c>
      <c r="X23" s="3">
        <v>0</v>
      </c>
      <c r="Y23" s="3">
        <v>4</v>
      </c>
      <c r="Z23" s="3">
        <f>ROUNDDOWN(434533/F1*H1,0)</f>
        <v>435</v>
      </c>
      <c r="AA23" s="3" t="s">
        <v>443</v>
      </c>
      <c r="AB23" s="3" t="s">
        <v>444</v>
      </c>
      <c r="AC23" s="3">
        <v>0.60799999999999998</v>
      </c>
      <c r="AD23" s="3">
        <v>0.38900000000000001</v>
      </c>
      <c r="AE23" s="3">
        <v>5</v>
      </c>
      <c r="AF23" s="3">
        <f>ROUNDDOWN(413371/F1*H1,0)</f>
        <v>414</v>
      </c>
      <c r="AG23" s="3" t="s">
        <v>445</v>
      </c>
      <c r="AH23" s="3" t="s">
        <v>446</v>
      </c>
      <c r="AI23" s="3">
        <v>0.74299999999999999</v>
      </c>
      <c r="AJ23" s="3">
        <v>0.25600000000000001</v>
      </c>
      <c r="AK23" s="3">
        <v>6</v>
      </c>
      <c r="AL23" s="3">
        <f>ROUNDDOWN(452574/F1*H1,0)</f>
        <v>453</v>
      </c>
      <c r="AM23" s="3" t="s">
        <v>447</v>
      </c>
      <c r="AN23" s="3" t="s">
        <v>448</v>
      </c>
      <c r="AO23" s="3">
        <v>0.65400000000000003</v>
      </c>
      <c r="AP23" s="3">
        <v>0.34399999999999997</v>
      </c>
      <c r="AQ23" s="3">
        <v>7</v>
      </c>
      <c r="AR23" s="3">
        <f>ROUNDDOWN(326837/F1*H1,0)</f>
        <v>327</v>
      </c>
      <c r="AS23" s="3" t="s">
        <v>449</v>
      </c>
      <c r="AT23" s="3" t="s">
        <v>450</v>
      </c>
      <c r="AU23" s="3">
        <v>0.86599999999999999</v>
      </c>
      <c r="AV23" s="3">
        <v>0.125</v>
      </c>
      <c r="AW23" s="3">
        <v>8</v>
      </c>
      <c r="AX23" s="3">
        <f>ROUNDDOWN(433545/F1*H1,0)</f>
        <v>434</v>
      </c>
      <c r="AY23" s="3" t="s">
        <v>451</v>
      </c>
      <c r="AZ23" s="3" t="s">
        <v>452</v>
      </c>
      <c r="BA23" s="3">
        <v>0.80700000000000005</v>
      </c>
      <c r="BB23" s="3">
        <v>0.187</v>
      </c>
      <c r="BC23" s="3">
        <v>9</v>
      </c>
      <c r="BD23" s="3">
        <f>ROUNDDOWN(442135/F1*H1,0)</f>
        <v>443</v>
      </c>
      <c r="BE23" s="3" t="s">
        <v>453</v>
      </c>
      <c r="BF23" s="3" t="s">
        <v>454</v>
      </c>
      <c r="BG23" s="3">
        <v>0.61299999999999999</v>
      </c>
      <c r="BH23" s="3">
        <v>0.36299999999999999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</row>
    <row r="24" spans="1:107" x14ac:dyDescent="0.3">
      <c r="A24" s="3" t="s">
        <v>455</v>
      </c>
      <c r="B24" s="3" t="s">
        <v>456</v>
      </c>
      <c r="C24" s="3" t="s">
        <v>457</v>
      </c>
      <c r="D24" s="3">
        <f>ROUNDDOWN(5579317/F1*H1,0)</f>
        <v>5595</v>
      </c>
      <c r="E24" s="3">
        <v>16</v>
      </c>
      <c r="F24" s="3">
        <v>14</v>
      </c>
      <c r="G24" s="3">
        <v>1</v>
      </c>
      <c r="H24" s="3">
        <f>ROUNDDOWN(416219/F1*H1,0)</f>
        <v>417</v>
      </c>
      <c r="I24" s="3" t="s">
        <v>458</v>
      </c>
      <c r="J24" s="3" t="s">
        <v>459</v>
      </c>
      <c r="K24" s="3">
        <v>0.38600000000000001</v>
      </c>
      <c r="L24" s="3">
        <v>0.61599999999999999</v>
      </c>
      <c r="M24" s="3">
        <v>2</v>
      </c>
      <c r="N24" s="3">
        <f>ROUNDDOWN(403247/F1*H1,0)</f>
        <v>404</v>
      </c>
      <c r="O24" s="3" t="s">
        <v>460</v>
      </c>
      <c r="P24" s="3" t="s">
        <v>461</v>
      </c>
      <c r="Q24" s="3">
        <v>0.38200000000000001</v>
      </c>
      <c r="R24" s="3">
        <v>0.59199999999999997</v>
      </c>
      <c r="S24" s="3">
        <v>3</v>
      </c>
      <c r="T24" s="3">
        <f>ROUNDDOWN(403419/F1*H1,0)</f>
        <v>404</v>
      </c>
      <c r="U24" s="3" t="s">
        <v>462</v>
      </c>
      <c r="V24" s="3" t="s">
        <v>463</v>
      </c>
      <c r="W24" s="3">
        <v>0.47</v>
      </c>
      <c r="X24" s="3">
        <v>0.52900000000000003</v>
      </c>
      <c r="Y24" s="3">
        <v>4</v>
      </c>
      <c r="Z24" s="3">
        <f>ROUNDDOWN(373245/F1*H1,0)</f>
        <v>374</v>
      </c>
      <c r="AA24" s="3" t="s">
        <v>464</v>
      </c>
      <c r="AB24" s="3" t="s">
        <v>465</v>
      </c>
      <c r="AC24" s="3">
        <v>0.32300000000000001</v>
      </c>
      <c r="AD24" s="3">
        <v>0.65</v>
      </c>
      <c r="AE24" s="3">
        <v>5</v>
      </c>
      <c r="AF24" s="3">
        <f>ROUNDDOWN(361032/F1*H1,0)</f>
        <v>362</v>
      </c>
      <c r="AG24" s="3" t="s">
        <v>466</v>
      </c>
      <c r="AH24" s="3" t="s">
        <v>467</v>
      </c>
      <c r="AI24" s="3">
        <v>0.54400000000000004</v>
      </c>
      <c r="AJ24" s="3">
        <v>0.41699999999999998</v>
      </c>
      <c r="AK24" s="3">
        <v>6</v>
      </c>
      <c r="AL24" s="3">
        <f>ROUNDDOWN(378980/F1*H1,0)</f>
        <v>380</v>
      </c>
      <c r="AM24" s="3" t="s">
        <v>468</v>
      </c>
      <c r="AN24" s="3" t="s">
        <v>469</v>
      </c>
      <c r="AO24" s="3">
        <v>0.40100000000000002</v>
      </c>
      <c r="AP24" s="3">
        <v>0.55800000000000005</v>
      </c>
      <c r="AQ24" s="3">
        <v>7</v>
      </c>
      <c r="AR24" s="3">
        <f>ROUNDDOWN(387267/F1*H1,0)</f>
        <v>388</v>
      </c>
      <c r="AS24" s="3" t="s">
        <v>470</v>
      </c>
      <c r="AT24" s="3" t="s">
        <v>471</v>
      </c>
      <c r="AU24" s="3">
        <v>0.41199999999999998</v>
      </c>
      <c r="AV24" s="3">
        <v>0.58699999999999997</v>
      </c>
      <c r="AW24" s="3">
        <v>8</v>
      </c>
      <c r="AX24" s="3">
        <f>ROUNDDOWN(399117/F1*H1,0)</f>
        <v>400</v>
      </c>
      <c r="AY24" s="3" t="s">
        <v>472</v>
      </c>
      <c r="AZ24" s="3" t="s">
        <v>473</v>
      </c>
      <c r="BA24" s="3">
        <v>0.57699999999999996</v>
      </c>
      <c r="BB24" s="3">
        <v>0.38400000000000001</v>
      </c>
      <c r="BC24" s="3">
        <v>9</v>
      </c>
      <c r="BD24" s="3">
        <f>ROUNDDOWN(409786/F1*H1,0)</f>
        <v>410</v>
      </c>
      <c r="BE24" s="3" t="s">
        <v>474</v>
      </c>
      <c r="BF24" s="3" t="s">
        <v>475</v>
      </c>
      <c r="BG24" s="3">
        <v>0.33700000000000002</v>
      </c>
      <c r="BH24" s="3">
        <v>0.66300000000000003</v>
      </c>
      <c r="BI24" s="3">
        <v>10</v>
      </c>
      <c r="BJ24" s="3">
        <f>ROUNDDOWN(428344/F1*H1,0)</f>
        <v>429</v>
      </c>
      <c r="BK24" s="3" t="s">
        <v>476</v>
      </c>
      <c r="BL24" s="3" t="s">
        <v>477</v>
      </c>
      <c r="BM24" s="3">
        <v>0.50800000000000001</v>
      </c>
      <c r="BN24" s="3">
        <v>0.47199999999999998</v>
      </c>
      <c r="BO24" s="3">
        <v>11</v>
      </c>
      <c r="BP24" s="3">
        <f>ROUNDDOWN(450473/F1*H1,0)</f>
        <v>451</v>
      </c>
      <c r="BQ24" s="3" t="s">
        <v>478</v>
      </c>
      <c r="BR24" s="3" t="s">
        <v>479</v>
      </c>
      <c r="BS24" s="3">
        <v>0.502</v>
      </c>
      <c r="BT24" s="3">
        <v>0.47799999999999998</v>
      </c>
      <c r="BU24" s="3">
        <v>12</v>
      </c>
      <c r="BV24" s="3">
        <f>ROUNDDOWN(383823/F1*H1,0)</f>
        <v>384</v>
      </c>
      <c r="BW24" s="3" t="s">
        <v>480</v>
      </c>
      <c r="BX24" s="3" t="s">
        <v>481</v>
      </c>
      <c r="BY24" s="3">
        <v>0.66400000000000003</v>
      </c>
      <c r="BZ24" s="3">
        <v>0.30599999999999999</v>
      </c>
      <c r="CA24" s="3">
        <v>13</v>
      </c>
      <c r="CB24" s="3">
        <f>ROUNDDOWN(286886/F1*H1,0)</f>
        <v>287</v>
      </c>
      <c r="CC24" s="3" t="s">
        <v>482</v>
      </c>
      <c r="CD24" s="3" t="s">
        <v>483</v>
      </c>
      <c r="CE24" s="3">
        <v>0.78</v>
      </c>
      <c r="CF24" s="3">
        <v>0.186</v>
      </c>
      <c r="CG24" s="3">
        <v>14</v>
      </c>
      <c r="CH24" s="3">
        <f>ROUNDDOWN(342303/F1*H1,0)</f>
        <v>343</v>
      </c>
      <c r="CI24" s="3" t="s">
        <v>484</v>
      </c>
      <c r="CJ24" s="3" t="s">
        <v>485</v>
      </c>
      <c r="CK24" s="3">
        <v>0.79200000000000004</v>
      </c>
      <c r="CL24" s="3">
        <v>0.183</v>
      </c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</row>
    <row r="25" spans="1:107" x14ac:dyDescent="0.3">
      <c r="A25" s="3" t="s">
        <v>486</v>
      </c>
      <c r="B25" s="3" t="s">
        <v>487</v>
      </c>
      <c r="C25" s="3" t="s">
        <v>488</v>
      </c>
      <c r="D25" s="3">
        <f>ROUNDDOWN(3290000/F1*H1,0)</f>
        <v>3299</v>
      </c>
      <c r="E25" s="3">
        <v>16</v>
      </c>
      <c r="F25" s="3">
        <v>8</v>
      </c>
      <c r="G25" s="3">
        <v>1</v>
      </c>
      <c r="H25" s="3">
        <f>ROUNDDOWN((21448+179234+167890+284)/F1*H1,0)</f>
        <v>369</v>
      </c>
      <c r="I25" s="3" t="s">
        <v>489</v>
      </c>
      <c r="J25" s="3" t="s">
        <v>490</v>
      </c>
      <c r="K25" s="3">
        <v>0.45500000000000002</v>
      </c>
      <c r="L25" s="3">
        <v>0.48499999999999999</v>
      </c>
      <c r="M25" s="3">
        <v>2</v>
      </c>
      <c r="N25" s="3">
        <f>ROUNDDOWN((24751+194954+204534+273)/F1*H1,0)</f>
        <v>425</v>
      </c>
      <c r="O25" s="3" t="s">
        <v>491</v>
      </c>
      <c r="P25" s="3" t="s">
        <v>492</v>
      </c>
      <c r="Q25" s="3">
        <v>0.48099999999999998</v>
      </c>
      <c r="R25" s="3">
        <v>0.45900000000000002</v>
      </c>
      <c r="S25" s="3">
        <v>3</v>
      </c>
      <c r="T25" s="3">
        <f>ROUNDDOWN((196625+246666+312)/F1*H1,0)</f>
        <v>444</v>
      </c>
      <c r="U25" s="3" t="s">
        <v>493</v>
      </c>
      <c r="V25" s="3" t="s">
        <v>494</v>
      </c>
      <c r="W25" s="3">
        <v>0.55600000000000005</v>
      </c>
      <c r="X25" s="3">
        <v>0.443</v>
      </c>
      <c r="Y25" s="3">
        <v>4</v>
      </c>
      <c r="Z25" s="3">
        <f>ROUNDDOWN((29537+112730+245813+1034)/F1*H1,0)</f>
        <v>390</v>
      </c>
      <c r="AA25" s="3" t="s">
        <v>495</v>
      </c>
      <c r="AB25" s="3" t="s">
        <v>496</v>
      </c>
      <c r="AC25" s="3">
        <v>0.63100000000000001</v>
      </c>
      <c r="AD25" s="3">
        <v>0.28899999999999998</v>
      </c>
      <c r="AE25" s="3">
        <v>5</v>
      </c>
      <c r="AF25" s="3">
        <f>ROUNDDOWN((1448+255924+102878+37979)/F1*H1,0)</f>
        <v>399</v>
      </c>
      <c r="AG25" s="3" t="s">
        <v>497</v>
      </c>
      <c r="AH25" s="3" t="s">
        <v>498</v>
      </c>
      <c r="AI25" s="3">
        <v>0.64200000000000002</v>
      </c>
      <c r="AJ25" s="3">
        <v>0.25800000000000001</v>
      </c>
      <c r="AK25" s="3">
        <v>6</v>
      </c>
      <c r="AL25" s="3">
        <f>ROUNDDOWN((270901+140853+553)/F1*H1,0)</f>
        <v>413</v>
      </c>
      <c r="AM25" s="3" t="s">
        <v>499</v>
      </c>
      <c r="AN25" s="3" t="s">
        <v>500</v>
      </c>
      <c r="AO25" s="3">
        <v>0.34100000000000003</v>
      </c>
      <c r="AP25" s="3">
        <v>0.65700000000000003</v>
      </c>
      <c r="AQ25" s="3">
        <v>7</v>
      </c>
      <c r="AR25" s="3">
        <f>ROUNDDOWN((17710+6499+194066+144840+362)/F1*H1,0)</f>
        <v>364</v>
      </c>
      <c r="AS25" s="3" t="s">
        <v>501</v>
      </c>
      <c r="AT25" s="3" t="s">
        <v>502</v>
      </c>
      <c r="AU25" s="3">
        <v>0.39800000000000002</v>
      </c>
      <c r="AV25" s="3">
        <v>0.53300000000000003</v>
      </c>
      <c r="AW25" s="3">
        <v>8</v>
      </c>
      <c r="AX25" s="3">
        <f>ROUNDDOWN((22190+223432+147853+236)/F1*H1,0)</f>
        <v>394</v>
      </c>
      <c r="AY25" s="3" t="s">
        <v>503</v>
      </c>
      <c r="AZ25" s="3" t="s">
        <v>504</v>
      </c>
      <c r="BA25" s="3">
        <v>0.375</v>
      </c>
      <c r="BB25" s="3">
        <v>0.56699999999999995</v>
      </c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</row>
    <row r="26" spans="1:107" x14ac:dyDescent="0.3">
      <c r="A26" s="3" t="s">
        <v>505</v>
      </c>
      <c r="B26" s="3" t="s">
        <v>506</v>
      </c>
      <c r="C26" s="3" t="s">
        <v>507</v>
      </c>
      <c r="D26" s="3">
        <f>ROUNDDOWN(1325000/F1*H1,0)</f>
        <v>1328</v>
      </c>
      <c r="E26" s="3">
        <v>6</v>
      </c>
      <c r="F26" s="3">
        <v>4</v>
      </c>
      <c r="G26" s="3">
        <v>1</v>
      </c>
      <c r="H26" s="3">
        <f>ROUNDDOWN((104008+228787)/F1*H1,0)</f>
        <v>333</v>
      </c>
      <c r="I26" s="3" t="s">
        <v>508</v>
      </c>
      <c r="J26" s="3" t="s">
        <v>509</v>
      </c>
      <c r="K26" s="3">
        <v>0.32100000000000001</v>
      </c>
      <c r="L26" s="3">
        <v>0.68700000000000006</v>
      </c>
      <c r="M26" s="3">
        <v>2</v>
      </c>
      <c r="N26" s="3">
        <f>ROUNDDOWN(297234/F1*H1,0)</f>
        <v>298</v>
      </c>
      <c r="O26" s="3" t="s">
        <v>510</v>
      </c>
      <c r="P26" s="3" t="s">
        <v>511</v>
      </c>
      <c r="Q26" s="3">
        <v>0.33900000000000002</v>
      </c>
      <c r="R26" s="3">
        <v>0.66</v>
      </c>
      <c r="S26" s="3">
        <v>3</v>
      </c>
      <c r="T26" s="3">
        <f>ROUNDDOWN(341846/F1*H1,0)</f>
        <v>342</v>
      </c>
      <c r="U26" s="3" t="s">
        <v>512</v>
      </c>
      <c r="V26" s="3" t="s">
        <v>513</v>
      </c>
      <c r="W26" s="3">
        <v>0.35299999999999998</v>
      </c>
      <c r="X26" s="3">
        <v>0.64700000000000002</v>
      </c>
      <c r="Y26" s="3">
        <v>4</v>
      </c>
      <c r="Z26" s="3">
        <f>ROUNDDOWN(255971/F1*H1,0)</f>
        <v>256</v>
      </c>
      <c r="AA26" s="3" t="s">
        <v>25</v>
      </c>
      <c r="AB26" s="3" t="s">
        <v>514</v>
      </c>
      <c r="AC26" s="3">
        <v>0</v>
      </c>
      <c r="AD26" s="3">
        <v>1</v>
      </c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</row>
    <row r="27" spans="1:107" x14ac:dyDescent="0.3">
      <c r="A27" s="3" t="s">
        <v>515</v>
      </c>
      <c r="B27" s="3" t="s">
        <v>25</v>
      </c>
      <c r="C27" s="3" t="s">
        <v>25</v>
      </c>
      <c r="D27" s="3">
        <f>ROUNDDOWN(3050000/F1*H1,0)</f>
        <v>3058</v>
      </c>
      <c r="E27" s="3">
        <v>10</v>
      </c>
      <c r="F27" s="3">
        <v>8</v>
      </c>
      <c r="G27" s="3">
        <v>1</v>
      </c>
      <c r="H27" s="3">
        <f>ROUNDDOWN(311754/F1*H1,0)</f>
        <v>312</v>
      </c>
      <c r="I27" s="3" t="s">
        <v>516</v>
      </c>
      <c r="J27" s="3" t="s">
        <v>517</v>
      </c>
      <c r="K27" s="3">
        <v>0.78700000000000003</v>
      </c>
      <c r="L27" s="3">
        <v>0.189</v>
      </c>
      <c r="M27" s="3">
        <v>2</v>
      </c>
      <c r="N27" s="3">
        <f>ROUNDDOWN(443762/F1*H1,0)</f>
        <v>445</v>
      </c>
      <c r="O27" s="3" t="s">
        <v>518</v>
      </c>
      <c r="P27" s="3" t="s">
        <v>519</v>
      </c>
      <c r="Q27" s="3">
        <v>0.45400000000000001</v>
      </c>
      <c r="R27" s="3">
        <v>0.51900000000000002</v>
      </c>
      <c r="S27" s="3">
        <v>3</v>
      </c>
      <c r="T27" s="3">
        <f>ROUNDDOWN(406961/F1*H1,0)</f>
        <v>408</v>
      </c>
      <c r="U27" s="3" t="s">
        <v>520</v>
      </c>
      <c r="V27" s="3" t="s">
        <v>521</v>
      </c>
      <c r="W27" s="3">
        <v>0.28399999999999997</v>
      </c>
      <c r="X27" s="3">
        <v>0.69299999999999995</v>
      </c>
      <c r="Y27" s="3">
        <v>4</v>
      </c>
      <c r="Z27" s="3">
        <f>ROUNDDOWN(362526/F1*H1,0)</f>
        <v>363</v>
      </c>
      <c r="AA27" s="3" t="s">
        <v>522</v>
      </c>
      <c r="AB27" s="3" t="s">
        <v>523</v>
      </c>
      <c r="AC27" s="3">
        <v>0.29599999999999999</v>
      </c>
      <c r="AD27" s="3">
        <v>0.67500000000000004</v>
      </c>
      <c r="AE27" s="3">
        <v>5</v>
      </c>
      <c r="AF27" s="3">
        <f>ROUNDDOWN(349523/F1*H1,0)</f>
        <v>350</v>
      </c>
      <c r="AG27" s="3" t="s">
        <v>524</v>
      </c>
      <c r="AH27" s="3" t="s">
        <v>525</v>
      </c>
      <c r="AI27" s="3">
        <v>0.58499999999999996</v>
      </c>
      <c r="AJ27" s="3">
        <v>0.38700000000000001</v>
      </c>
      <c r="AK27" s="3">
        <v>6</v>
      </c>
      <c r="AL27" s="3">
        <f>ROUNDDOWN(385800/F1*H1,0)</f>
        <v>386</v>
      </c>
      <c r="AM27" s="3" t="s">
        <v>526</v>
      </c>
      <c r="AN27" s="3" t="s">
        <v>527</v>
      </c>
      <c r="AO27" s="3">
        <v>0.307</v>
      </c>
      <c r="AP27" s="3">
        <v>0.67100000000000004</v>
      </c>
      <c r="AQ27" s="3">
        <v>7</v>
      </c>
      <c r="AR27" s="3">
        <f>ROUNDDOWN(366195/F1*H1,0)</f>
        <v>367</v>
      </c>
      <c r="AS27" s="3" t="s">
        <v>528</v>
      </c>
      <c r="AT27" s="3" t="s">
        <v>529</v>
      </c>
      <c r="AU27" s="3">
        <v>0.26300000000000001</v>
      </c>
      <c r="AV27" s="3">
        <v>0.68700000000000006</v>
      </c>
      <c r="AW27" s="3">
        <v>8</v>
      </c>
      <c r="AX27" s="3">
        <f>ROUNDDOWN(329996/F1*H1,0)</f>
        <v>330</v>
      </c>
      <c r="AY27" s="3" t="s">
        <v>530</v>
      </c>
      <c r="AZ27" s="3" t="s">
        <v>531</v>
      </c>
      <c r="BA27" s="3">
        <v>0.21299999999999999</v>
      </c>
      <c r="BB27" s="3">
        <v>0.76800000000000002</v>
      </c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</row>
    <row r="28" spans="1:107" x14ac:dyDescent="0.3">
      <c r="A28" s="3" t="s">
        <v>532</v>
      </c>
      <c r="B28" s="3" t="s">
        <v>533</v>
      </c>
      <c r="C28" s="3" t="s">
        <v>534</v>
      </c>
      <c r="D28" s="3">
        <f>ROUNDDOWN(612075/F1*H1,0)</f>
        <v>613</v>
      </c>
      <c r="E28" s="3">
        <v>3</v>
      </c>
      <c r="F28" s="3">
        <v>1</v>
      </c>
      <c r="G28" s="3">
        <v>1</v>
      </c>
      <c r="H28" s="3">
        <f>ROUNDDOWN(601509/F1*H1,0)</f>
        <v>603</v>
      </c>
      <c r="I28" s="3" t="s">
        <v>535</v>
      </c>
      <c r="J28" s="3" t="s">
        <v>536</v>
      </c>
      <c r="K28" s="3">
        <v>0.44</v>
      </c>
      <c r="L28" s="3">
        <v>0.56000000000000005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</row>
    <row r="29" spans="1:107" x14ac:dyDescent="0.3">
      <c r="A29" s="3" t="s">
        <v>537</v>
      </c>
      <c r="B29" s="3" t="s">
        <v>538</v>
      </c>
      <c r="C29" s="3" t="s">
        <v>539</v>
      </c>
      <c r="D29" s="3">
        <f>ROUNDDOWN(966920/F1*H1,0)</f>
        <v>969</v>
      </c>
      <c r="E29" s="3">
        <v>5</v>
      </c>
      <c r="F29" s="3">
        <v>3</v>
      </c>
      <c r="G29" s="3">
        <v>1</v>
      </c>
      <c r="H29" s="3">
        <f>ROUNDDOWN(317566/F1*H1,0)</f>
        <v>318</v>
      </c>
      <c r="I29" s="3" t="s">
        <v>540</v>
      </c>
      <c r="J29" s="3" t="s">
        <v>541</v>
      </c>
      <c r="K29" s="3">
        <v>0.376</v>
      </c>
      <c r="L29" s="3">
        <v>0.59499999999999997</v>
      </c>
      <c r="M29" s="3">
        <v>2</v>
      </c>
      <c r="N29" s="3">
        <f>ROUNDDOWN(336962/F1*H1,0)</f>
        <v>337</v>
      </c>
      <c r="O29" s="3" t="s">
        <v>542</v>
      </c>
      <c r="P29" s="3" t="s">
        <v>543</v>
      </c>
      <c r="Q29" s="3">
        <v>0.46200000000000002</v>
      </c>
      <c r="R29" s="3">
        <v>0.50700000000000001</v>
      </c>
      <c r="S29" s="3">
        <v>3</v>
      </c>
      <c r="T29" s="3">
        <f>ROUNDDOWN(286770/F1*H1,0)</f>
        <v>287</v>
      </c>
      <c r="U29" s="3" t="s">
        <v>544</v>
      </c>
      <c r="V29" s="3" t="s">
        <v>545</v>
      </c>
      <c r="W29" s="3">
        <v>0.17599999999999999</v>
      </c>
      <c r="X29" s="3">
        <v>0.78500000000000003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</row>
    <row r="30" spans="1:107" x14ac:dyDescent="0.3">
      <c r="A30" s="3" t="s">
        <v>546</v>
      </c>
      <c r="B30" s="3" t="s">
        <v>25</v>
      </c>
      <c r="C30" s="3" t="s">
        <v>25</v>
      </c>
      <c r="D30" s="3">
        <f>ROUNDDOWN((1407754/F1)*H1,0)</f>
        <v>1411</v>
      </c>
      <c r="E30" s="3">
        <v>11</v>
      </c>
      <c r="F30" s="3">
        <v>4</v>
      </c>
      <c r="G30" s="3">
        <v>1</v>
      </c>
      <c r="H30" s="3">
        <f>ROUNDDOWN((137868+74490+6190+4665)/F1*H1,0)</f>
        <v>223</v>
      </c>
      <c r="I30" s="3" t="s">
        <v>547</v>
      </c>
      <c r="J30" s="3" t="s">
        <v>548</v>
      </c>
      <c r="K30" s="3">
        <v>0.61799999999999999</v>
      </c>
      <c r="L30" s="3">
        <v>0.33400000000000002</v>
      </c>
      <c r="M30" s="3">
        <v>2</v>
      </c>
      <c r="N30" s="3">
        <f>ROUNDDOWN((216078+155780+10815)/F1*H1,0)</f>
        <v>383</v>
      </c>
      <c r="O30" s="3" t="s">
        <v>549</v>
      </c>
      <c r="P30" s="3" t="s">
        <v>550</v>
      </c>
      <c r="Q30" s="3">
        <v>0.40699999999999997</v>
      </c>
      <c r="R30" s="3">
        <v>0.56499999999999995</v>
      </c>
      <c r="S30" s="3">
        <v>3</v>
      </c>
      <c r="T30" s="3">
        <f>ROUNDDOWN((203421+190975+12315+10541)/F1*H1,0)</f>
        <v>418</v>
      </c>
      <c r="U30" s="3" t="s">
        <v>551</v>
      </c>
      <c r="V30" s="3" t="s">
        <v>552</v>
      </c>
      <c r="W30" s="3">
        <v>0.48799999999999999</v>
      </c>
      <c r="X30" s="3">
        <v>0.45800000000000002</v>
      </c>
      <c r="Y30" s="3">
        <v>4</v>
      </c>
      <c r="Z30" s="3">
        <f>D30-(T30+H30+N30)</f>
        <v>387</v>
      </c>
      <c r="AA30" s="3" t="s">
        <v>553</v>
      </c>
      <c r="AB30" s="3" t="s">
        <v>554</v>
      </c>
      <c r="AC30" s="3">
        <v>0.50700000000000001</v>
      </c>
      <c r="AD30" s="3">
        <v>0.45800000000000002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</row>
    <row r="31" spans="1:107" x14ac:dyDescent="0.3">
      <c r="A31" s="3" t="s">
        <v>555</v>
      </c>
      <c r="B31" s="3" t="s">
        <v>556</v>
      </c>
      <c r="C31" s="3" t="s">
        <v>557</v>
      </c>
      <c r="D31" s="3">
        <f>ROUNDDOWN(814499/F1*H1,0)</f>
        <v>816</v>
      </c>
      <c r="E31" s="3">
        <v>4</v>
      </c>
      <c r="F31" s="3">
        <v>2</v>
      </c>
      <c r="G31" s="3">
        <v>1</v>
      </c>
      <c r="H31" s="3">
        <f>ROUNDDOWN((185159+205606+9747+149)/F1*H1,0)</f>
        <v>401</v>
      </c>
      <c r="I31" s="3" t="s">
        <v>558</v>
      </c>
      <c r="J31" s="3" t="s">
        <v>559</v>
      </c>
      <c r="K31" s="3">
        <v>0.51300000000000001</v>
      </c>
      <c r="L31" s="3">
        <v>0.46200000000000002</v>
      </c>
      <c r="M31" s="3">
        <v>2</v>
      </c>
      <c r="N31" s="3">
        <f>ROUNDDOWN(386441/F1*H1,0)</f>
        <v>387</v>
      </c>
      <c r="O31" s="3" t="s">
        <v>560</v>
      </c>
      <c r="P31" s="3" t="s">
        <v>561</v>
      </c>
      <c r="Q31" s="3">
        <v>0.53800000000000003</v>
      </c>
      <c r="R31" s="3">
        <v>0.437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</row>
    <row r="32" spans="1:107" x14ac:dyDescent="0.3">
      <c r="A32" s="3" t="s">
        <v>562</v>
      </c>
      <c r="B32" s="3" t="s">
        <v>563</v>
      </c>
      <c r="C32" s="3" t="s">
        <v>564</v>
      </c>
      <c r="D32" s="3">
        <f>ROUNDDOWN(4350000/F1*H1,0)</f>
        <v>4362</v>
      </c>
      <c r="E32" s="3">
        <v>14</v>
      </c>
      <c r="F32" s="3">
        <v>12</v>
      </c>
      <c r="G32" s="3">
        <v>1</v>
      </c>
      <c r="H32" s="3">
        <f>ROUNDDOWN((240567+144463)/F1*H1,0)</f>
        <v>386</v>
      </c>
      <c r="I32" s="3" t="s">
        <v>565</v>
      </c>
      <c r="J32" s="3" t="s">
        <v>566</v>
      </c>
      <c r="K32" s="3">
        <v>0.625</v>
      </c>
      <c r="L32" s="3">
        <v>0.375</v>
      </c>
      <c r="M32" s="3">
        <v>2</v>
      </c>
      <c r="N32" s="3">
        <f>ROUNDDOWN((195421+173845+4136+3036)/F1*H1,0)</f>
        <v>377</v>
      </c>
      <c r="O32" s="3" t="s">
        <v>567</v>
      </c>
      <c r="P32" s="3" t="s">
        <v>568</v>
      </c>
      <c r="Q32" s="3">
        <v>0.46200000000000002</v>
      </c>
      <c r="R32" s="3">
        <v>0.51900000000000002</v>
      </c>
      <c r="S32" s="3">
        <v>3</v>
      </c>
      <c r="T32" s="3">
        <f>ROUNDDOWN((229840+196327+3724+1871)/F1*H1,0)</f>
        <v>432</v>
      </c>
      <c r="U32" s="3" t="s">
        <v>569</v>
      </c>
      <c r="V32" s="3" t="s">
        <v>570</v>
      </c>
      <c r="W32" s="3">
        <v>0.53200000000000003</v>
      </c>
      <c r="X32" s="3">
        <v>0.45500000000000002</v>
      </c>
      <c r="Y32" s="3">
        <v>4</v>
      </c>
      <c r="Z32" s="3">
        <f>ROUNDDOWN((254103+162420+3195+2583+2067)/F1*H1,0)</f>
        <v>425</v>
      </c>
      <c r="AA32" s="3" t="s">
        <v>571</v>
      </c>
      <c r="AB32" s="3" t="s">
        <v>572</v>
      </c>
      <c r="AC32" s="3">
        <v>0.38300000000000001</v>
      </c>
      <c r="AD32" s="3">
        <v>0.59899999999999998</v>
      </c>
      <c r="AE32" s="3">
        <v>5</v>
      </c>
      <c r="AF32" s="3">
        <f>ROUNDDOWN((225175+193333+5128)/F1*H1,0)</f>
        <v>424</v>
      </c>
      <c r="AG32" s="3" t="s">
        <v>573</v>
      </c>
      <c r="AH32" s="3" t="s">
        <v>574</v>
      </c>
      <c r="AI32" s="3">
        <v>0.53200000000000003</v>
      </c>
      <c r="AJ32" s="3">
        <v>0.45600000000000002</v>
      </c>
      <c r="AK32" s="3">
        <v>6</v>
      </c>
      <c r="AL32" s="3">
        <f>ROUNDDOWN((199645+126756)/F1*H1,0)</f>
        <v>327</v>
      </c>
      <c r="AM32" s="3" t="s">
        <v>575</v>
      </c>
      <c r="AN32" s="3" t="s">
        <v>576</v>
      </c>
      <c r="AO32" s="3">
        <v>0.61199999999999999</v>
      </c>
      <c r="AP32" s="3">
        <v>0.38800000000000001</v>
      </c>
      <c r="AQ32" s="3">
        <v>7</v>
      </c>
      <c r="AR32" s="3">
        <f>ROUNDDOWN((219629+214316)/F1*H1,0)</f>
        <v>435</v>
      </c>
      <c r="AS32" s="3" t="s">
        <v>577</v>
      </c>
      <c r="AT32" s="3" t="s">
        <v>578</v>
      </c>
      <c r="AU32" s="3">
        <v>0.50600000000000001</v>
      </c>
      <c r="AV32" s="3">
        <v>0.49399999999999999</v>
      </c>
      <c r="AW32" s="3">
        <v>8</v>
      </c>
      <c r="AX32" s="3">
        <f>ROUNDDOWN((176758+58686+3329)/F1*H1,0)</f>
        <v>239</v>
      </c>
      <c r="AY32" s="3" t="s">
        <v>579</v>
      </c>
      <c r="AZ32" s="3" t="s">
        <v>580</v>
      </c>
      <c r="BA32" s="3">
        <v>0.74</v>
      </c>
      <c r="BB32" s="3">
        <v>0.246</v>
      </c>
      <c r="BC32" s="3">
        <v>9</v>
      </c>
      <c r="BD32" s="3">
        <f>ROUNDDOWN((203674+98629+7239)/F1*H1,0)</f>
        <v>310</v>
      </c>
      <c r="BE32" s="3" t="s">
        <v>581</v>
      </c>
      <c r="BF32" s="3" t="s">
        <v>582</v>
      </c>
      <c r="BG32" s="3">
        <v>0.65800000000000003</v>
      </c>
      <c r="BH32" s="3">
        <v>0.31900000000000001</v>
      </c>
      <c r="BI32" s="3">
        <v>10</v>
      </c>
      <c r="BJ32" s="3">
        <f>ROUNDDOWN((241522+40298+3537+3480+1172)/F1*H1,0)</f>
        <v>290</v>
      </c>
      <c r="BK32" s="3" t="s">
        <v>583</v>
      </c>
      <c r="BL32" s="3" t="s">
        <v>584</v>
      </c>
      <c r="BM32" s="3">
        <v>0.83299999999999996</v>
      </c>
      <c r="BN32" s="3">
        <v>0.13900000000000001</v>
      </c>
      <c r="BO32" s="3">
        <v>11</v>
      </c>
      <c r="BP32" s="3">
        <f>ROUNDDOWN((235163+206013)/F1*H1,0)</f>
        <v>442</v>
      </c>
      <c r="BQ32" s="3" t="s">
        <v>585</v>
      </c>
      <c r="BR32" s="3" t="s">
        <v>586</v>
      </c>
      <c r="BS32" s="3">
        <v>0.53300000000000003</v>
      </c>
      <c r="BT32" s="3">
        <v>0.46700000000000003</v>
      </c>
      <c r="BU32" s="3">
        <v>12</v>
      </c>
      <c r="BV32" s="3">
        <f>ROUNDDOWN((230883+114591+4512+1739)/F1*H1,0)</f>
        <v>352</v>
      </c>
      <c r="BW32" s="3" t="s">
        <v>587</v>
      </c>
      <c r="BX32" s="3" t="s">
        <v>588</v>
      </c>
      <c r="BY32" s="3">
        <v>0.65600000000000003</v>
      </c>
      <c r="BZ32" s="3">
        <v>0.32600000000000001</v>
      </c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</row>
    <row r="33" spans="1:222" x14ac:dyDescent="0.3">
      <c r="A33" s="3" t="s">
        <v>589</v>
      </c>
      <c r="B33" s="3" t="s">
        <v>590</v>
      </c>
      <c r="C33" s="3" t="s">
        <v>591</v>
      </c>
      <c r="D33" s="3">
        <f>ROUNDDOWN(928230/F1*H1,0)</f>
        <v>930</v>
      </c>
      <c r="E33" s="3">
        <v>5</v>
      </c>
      <c r="F33" s="3">
        <v>3</v>
      </c>
      <c r="G33" s="3">
        <v>1</v>
      </c>
      <c r="H33" s="3">
        <f>ROUNDDOWN((186953+134337)/F1*H1,0)</f>
        <v>322</v>
      </c>
      <c r="I33" s="3" t="s">
        <v>592</v>
      </c>
      <c r="J33" s="3" t="s">
        <v>593</v>
      </c>
      <c r="K33" s="3">
        <v>0.85199999999999998</v>
      </c>
      <c r="L33" s="3">
        <v>0.41799999999999998</v>
      </c>
      <c r="M33" s="3">
        <v>2</v>
      </c>
      <c r="N33" s="3">
        <f>ROUNDDOWN((142283+122546)/F1*H1,0)</f>
        <v>265</v>
      </c>
      <c r="O33" s="3" t="s">
        <v>594</v>
      </c>
      <c r="P33" s="3" t="s">
        <v>595</v>
      </c>
      <c r="Q33" s="3">
        <v>0.46300000000000002</v>
      </c>
      <c r="R33" s="3">
        <v>0.53700000000000003</v>
      </c>
      <c r="S33" s="3">
        <v>3</v>
      </c>
      <c r="T33" s="3">
        <f>ROUNDDOWN((186282+131166)/F1*H1,0)</f>
        <v>318</v>
      </c>
      <c r="U33" s="3" t="s">
        <v>596</v>
      </c>
      <c r="V33" s="3" t="s">
        <v>597</v>
      </c>
      <c r="W33" s="3">
        <v>0.58699999999999997</v>
      </c>
      <c r="X33" s="3">
        <v>0.41299999999999998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</row>
    <row r="34" spans="1:222" x14ac:dyDescent="0.3">
      <c r="A34" s="4" t="s">
        <v>598</v>
      </c>
      <c r="B34" s="3" t="s">
        <v>25</v>
      </c>
      <c r="C34" s="3" t="s">
        <v>25</v>
      </c>
      <c r="D34" s="3">
        <f>ROUNDDOWN(8930000/F1*H1,0)</f>
        <v>8955</v>
      </c>
      <c r="E34" s="3">
        <v>29</v>
      </c>
      <c r="F34" s="3">
        <v>27</v>
      </c>
      <c r="G34" s="3">
        <v>1</v>
      </c>
      <c r="H34" s="3">
        <f>ROUNDDOWN((205715+169294)/F1*H1,0)</f>
        <v>376</v>
      </c>
      <c r="I34" s="3" t="s">
        <v>599</v>
      </c>
      <c r="J34" s="3" t="s">
        <v>600</v>
      </c>
      <c r="K34" s="3">
        <v>0.45100000000000001</v>
      </c>
      <c r="L34" s="3">
        <v>0.54900000000000004</v>
      </c>
      <c r="M34" s="3">
        <v>2</v>
      </c>
      <c r="N34" s="3">
        <f>ROUNDDOWN((177379+154246+3448)/F1*H1,0)</f>
        <v>336</v>
      </c>
      <c r="O34" s="3" t="s">
        <v>601</v>
      </c>
      <c r="P34" s="3" t="s">
        <v>602</v>
      </c>
      <c r="Q34" s="3">
        <v>0.46</v>
      </c>
      <c r="R34" s="3">
        <v>0.52900000000000003</v>
      </c>
      <c r="S34" s="3">
        <v>3</v>
      </c>
      <c r="T34" s="3">
        <f>ROUNDDOWN((208555+161931+2156)/F1*H1,0)</f>
        <v>373</v>
      </c>
      <c r="U34" s="3" t="s">
        <v>603</v>
      </c>
      <c r="V34" s="3" t="s">
        <v>604</v>
      </c>
      <c r="W34" s="3">
        <v>0.56000000000000005</v>
      </c>
      <c r="X34" s="3">
        <v>0.435</v>
      </c>
      <c r="Y34" s="3">
        <v>4</v>
      </c>
      <c r="Z34" s="3">
        <f>ROUNDDOWN((199762+153007+3024)/F1*H1,0)</f>
        <v>356</v>
      </c>
      <c r="AA34" s="3" t="s">
        <v>605</v>
      </c>
      <c r="AB34" s="3" t="s">
        <v>606</v>
      </c>
      <c r="AC34" s="3">
        <v>0.56100000000000005</v>
      </c>
      <c r="AD34" s="3">
        <v>0.43</v>
      </c>
      <c r="AE34" s="3">
        <v>5</v>
      </c>
      <c r="AF34" s="3">
        <f>ROUNDDOWN((229125)/F1*H1,0)</f>
        <v>229</v>
      </c>
      <c r="AG34" s="3" t="s">
        <v>607</v>
      </c>
      <c r="AH34" s="3" t="s">
        <v>25</v>
      </c>
      <c r="AI34" s="3">
        <v>1</v>
      </c>
      <c r="AJ34" s="3">
        <v>0</v>
      </c>
      <c r="AK34" s="3">
        <v>6</v>
      </c>
      <c r="AL34" s="3">
        <f>ROUNDDOWN((158862+74829)/F1*H1,0)</f>
        <v>234</v>
      </c>
      <c r="AM34" s="3" t="s">
        <v>608</v>
      </c>
      <c r="AN34" s="3" t="s">
        <v>609</v>
      </c>
      <c r="AO34" s="3">
        <v>0.68</v>
      </c>
      <c r="AP34" s="3">
        <v>0.32</v>
      </c>
      <c r="AQ34" s="3">
        <v>7</v>
      </c>
      <c r="AR34" s="3">
        <f>ROUNDDOWN((191073+32520+1522)/F1*H1,0)</f>
        <v>225</v>
      </c>
      <c r="AS34" s="3" t="s">
        <v>610</v>
      </c>
      <c r="AT34" s="3" t="s">
        <v>611</v>
      </c>
      <c r="AU34" s="3">
        <v>0.84899999999999998</v>
      </c>
      <c r="AV34" s="3">
        <v>0.14399999999999999</v>
      </c>
      <c r="AW34" s="3">
        <v>8</v>
      </c>
      <c r="AX34" s="3">
        <f>ROUNDDOWN((234933+42007)/F1*H1,0)</f>
        <v>277</v>
      </c>
      <c r="AY34" s="3" t="s">
        <v>612</v>
      </c>
      <c r="AZ34" s="3" t="s">
        <v>613</v>
      </c>
      <c r="BA34" s="3">
        <v>0.84799999999999998</v>
      </c>
      <c r="BB34" s="3">
        <v>0.152</v>
      </c>
      <c r="BC34" s="3">
        <v>9</v>
      </c>
      <c r="BD34" s="3">
        <f>ROUNDDOWN((230221+43950+1644+1052)/F1*H1,0)</f>
        <v>277</v>
      </c>
      <c r="BE34" s="3" t="s">
        <v>614</v>
      </c>
      <c r="BF34" s="3" t="s">
        <v>615</v>
      </c>
      <c r="BG34" s="3">
        <v>0.83199999999999996</v>
      </c>
      <c r="BH34" s="3">
        <v>0.159</v>
      </c>
      <c r="BI34" s="3">
        <v>10</v>
      </c>
      <c r="BJ34" s="3">
        <f>ROUNDDOWN((206310+66889+3370)/F1*H1,0)</f>
        <v>277</v>
      </c>
      <c r="BK34" s="3" t="s">
        <v>616</v>
      </c>
      <c r="BL34" s="3" t="s">
        <v>617</v>
      </c>
      <c r="BM34" s="3">
        <v>0.746</v>
      </c>
      <c r="BN34" s="3">
        <v>0.24199999999999999</v>
      </c>
      <c r="BO34" s="3">
        <v>11</v>
      </c>
      <c r="BP34" s="3">
        <f>ROUNDDOWN((155608+137198)/F1*H1,0)</f>
        <v>293</v>
      </c>
      <c r="BQ34" s="3" t="s">
        <v>618</v>
      </c>
      <c r="BR34" s="3" t="s">
        <v>619</v>
      </c>
      <c r="BS34" s="3">
        <v>0.46899999999999997</v>
      </c>
      <c r="BT34" s="3">
        <v>0.53100000000000003</v>
      </c>
      <c r="BU34" s="3">
        <v>12</v>
      </c>
      <c r="BV34" s="3">
        <f>ROUNDDOWN((265172+53061+4015)/F1*H1,0)</f>
        <v>323</v>
      </c>
      <c r="BW34" s="3" t="s">
        <v>620</v>
      </c>
      <c r="BX34" s="3" t="s">
        <v>621</v>
      </c>
      <c r="BY34" s="3">
        <v>0.82299999999999995</v>
      </c>
      <c r="BZ34" s="3">
        <v>0.16500000000000001</v>
      </c>
      <c r="CA34" s="3">
        <v>13</v>
      </c>
      <c r="CB34" s="3">
        <f>ROUNDDOWN((231841+19829+3295)/F1*H1,0)</f>
        <v>255</v>
      </c>
      <c r="CC34" s="3" t="s">
        <v>622</v>
      </c>
      <c r="CD34" s="3" t="s">
        <v>623</v>
      </c>
      <c r="CE34" s="3">
        <v>0.90900000000000003</v>
      </c>
      <c r="CF34" s="3">
        <v>7.8E-2</v>
      </c>
      <c r="CG34" s="3">
        <v>14</v>
      </c>
      <c r="CH34" s="3">
        <f>ROUNDDOWN((152661+58440+2000)/F1*H1,0)</f>
        <v>213</v>
      </c>
      <c r="CI34" s="3" t="s">
        <v>624</v>
      </c>
      <c r="CJ34" s="3" t="s">
        <v>625</v>
      </c>
      <c r="CK34" s="3">
        <v>0.71599999999999997</v>
      </c>
      <c r="CL34" s="3">
        <v>0.27400000000000002</v>
      </c>
      <c r="CM34" s="3">
        <v>15</v>
      </c>
      <c r="CN34" s="3">
        <f>ROUNDDOWN((169533+21221)/F1*H1,0)</f>
        <v>191</v>
      </c>
      <c r="CO34" s="3" t="s">
        <v>626</v>
      </c>
      <c r="CP34" s="3" t="s">
        <v>627</v>
      </c>
      <c r="CQ34" s="3">
        <v>0.88900000000000001</v>
      </c>
      <c r="CR34" s="3">
        <v>0.111</v>
      </c>
      <c r="CS34" s="3">
        <v>16</v>
      </c>
      <c r="CT34" s="3">
        <f>ROUNDDOWN((218471+41085)/F1*H1,0)</f>
        <v>260</v>
      </c>
      <c r="CU34" s="3" t="s">
        <v>628</v>
      </c>
      <c r="CV34" s="3" t="s">
        <v>25</v>
      </c>
      <c r="CW34" s="3">
        <v>0.84199999999999997</v>
      </c>
      <c r="CX34" s="3">
        <v>0</v>
      </c>
      <c r="CY34" s="3">
        <v>17</v>
      </c>
      <c r="CZ34" s="3">
        <f>ROUNDDOWN((197353+117307+8887+6363+2745)/F1*H1,0)</f>
        <v>333</v>
      </c>
      <c r="DA34" s="3" t="s">
        <v>629</v>
      </c>
      <c r="DB34" s="3" t="s">
        <v>630</v>
      </c>
      <c r="DC34" s="3">
        <v>0.59299999999999997</v>
      </c>
      <c r="DD34">
        <v>0.35299999999999998</v>
      </c>
      <c r="DE34">
        <v>18</v>
      </c>
      <c r="DF34">
        <f>ROUNDDOWN((187169+145098+3162)/F1*H1,0)</f>
        <v>336</v>
      </c>
      <c r="DG34" t="s">
        <v>631</v>
      </c>
      <c r="DH34" t="s">
        <v>632</v>
      </c>
      <c r="DI34">
        <v>0.55800000000000005</v>
      </c>
      <c r="DJ34">
        <v>0.433</v>
      </c>
      <c r="DK34">
        <v>19</v>
      </c>
      <c r="DL34">
        <f>ROUNDDOWN((192100+151475+4224+2799)/F1*H1,0)</f>
        <v>351</v>
      </c>
      <c r="DM34" t="s">
        <v>633</v>
      </c>
      <c r="DN34" t="s">
        <v>634</v>
      </c>
      <c r="DO34">
        <v>0.54800000000000004</v>
      </c>
      <c r="DP34">
        <v>0.432</v>
      </c>
      <c r="DQ34">
        <v>20</v>
      </c>
      <c r="DR34">
        <f>ROUNDDOWN((219705+139446)/F1*H1,0)</f>
        <v>360</v>
      </c>
      <c r="DS34" t="s">
        <v>635</v>
      </c>
      <c r="DT34" t="s">
        <v>636</v>
      </c>
      <c r="DU34">
        <v>0.61199999999999999</v>
      </c>
      <c r="DV34">
        <v>0.38800000000000001</v>
      </c>
      <c r="DW34">
        <v>21</v>
      </c>
      <c r="DX34">
        <f>ROUNDDOWN((188649+131992)/F1*H1,0)</f>
        <v>321</v>
      </c>
      <c r="DY34" t="s">
        <v>637</v>
      </c>
      <c r="DZ34" t="s">
        <v>638</v>
      </c>
      <c r="EA34">
        <v>0.41199999999999998</v>
      </c>
      <c r="EB34">
        <v>0.58799999999999997</v>
      </c>
      <c r="EC34">
        <v>22</v>
      </c>
      <c r="ED34">
        <f>ROUNDDOWN((155348+154997+6749)/F1*H1,0)</f>
        <v>317</v>
      </c>
      <c r="EE34" t="s">
        <v>639</v>
      </c>
      <c r="EF34" t="s">
        <v>640</v>
      </c>
      <c r="EG34">
        <v>0.48899999999999999</v>
      </c>
      <c r="EH34">
        <v>0.49</v>
      </c>
      <c r="EI34">
        <v>23</v>
      </c>
      <c r="EJ34">
        <f>ROUNDDOWN((181169+129014+3541)/F1*H1,0)</f>
        <v>314</v>
      </c>
      <c r="EK34" t="s">
        <v>641</v>
      </c>
      <c r="EL34" t="s">
        <v>642</v>
      </c>
      <c r="EM34">
        <v>0.41099999999999998</v>
      </c>
      <c r="EN34">
        <v>0.57699999999999996</v>
      </c>
      <c r="EO34">
        <v>24</v>
      </c>
      <c r="EP34">
        <f>ROUNDDOWN((182567+147638+13232)/F1*H1,0)</f>
        <v>344</v>
      </c>
      <c r="EQ34" t="s">
        <v>643</v>
      </c>
      <c r="ER34" t="s">
        <v>644</v>
      </c>
      <c r="ES34">
        <v>0.43</v>
      </c>
      <c r="ET34">
        <v>0.53200000000000003</v>
      </c>
      <c r="EU34">
        <v>25</v>
      </c>
      <c r="EV34">
        <f>ROUNDDOWN((206396+136198+5325)/F1*H1,0)</f>
        <v>348</v>
      </c>
      <c r="EW34" t="s">
        <v>645</v>
      </c>
      <c r="EX34" t="s">
        <v>646</v>
      </c>
      <c r="EY34">
        <v>0.59299999999999997</v>
      </c>
      <c r="EZ34">
        <v>0.39100000000000001</v>
      </c>
      <c r="FA34">
        <v>26</v>
      </c>
      <c r="FB34">
        <f>ROUNDDOWN((223276+91687+4628)/F1*H1,0)</f>
        <v>320</v>
      </c>
      <c r="FC34" t="s">
        <v>647</v>
      </c>
      <c r="FD34" t="s">
        <v>648</v>
      </c>
      <c r="FE34">
        <v>0.69899999999999995</v>
      </c>
      <c r="FF34">
        <v>0.28699999999999998</v>
      </c>
      <c r="FG34">
        <v>27</v>
      </c>
      <c r="FH34">
        <f>ROUNDDOWN((229044+149559+4884)/F1*H1,0)</f>
        <v>384</v>
      </c>
      <c r="FI34" t="s">
        <v>649</v>
      </c>
      <c r="FJ34" t="s">
        <v>650</v>
      </c>
      <c r="FK34">
        <v>0.39</v>
      </c>
      <c r="FL34">
        <v>0.59699999999999998</v>
      </c>
    </row>
    <row r="35" spans="1:222" x14ac:dyDescent="0.3">
      <c r="A35" s="4" t="s">
        <v>651</v>
      </c>
      <c r="B35" s="3" t="s">
        <v>652</v>
      </c>
      <c r="C35" s="3" t="s">
        <v>653</v>
      </c>
      <c r="D35" s="3">
        <f>ROUNDDOWN(5545848/F1*H1,0)</f>
        <v>5561</v>
      </c>
      <c r="E35" s="3">
        <v>15</v>
      </c>
      <c r="F35" s="3">
        <v>13</v>
      </c>
      <c r="G35" s="3">
        <v>1</v>
      </c>
      <c r="H35" s="3">
        <f>ROUNDDOWN((188870+159748)/F1*H1,0)</f>
        <v>349</v>
      </c>
      <c r="I35" s="3" t="s">
        <v>654</v>
      </c>
      <c r="J35" s="3" t="s">
        <v>655</v>
      </c>
      <c r="K35" s="3">
        <v>0.54200000000000004</v>
      </c>
      <c r="L35" s="3">
        <v>0.45800000000000002</v>
      </c>
      <c r="M35" s="3">
        <v>2</v>
      </c>
      <c r="N35" s="3">
        <f>ROUNDDOWN((311887+172544+10914)/F1*H1,0)</f>
        <v>496</v>
      </c>
      <c r="O35" s="3" t="s">
        <v>656</v>
      </c>
      <c r="P35" s="3" t="s">
        <v>657</v>
      </c>
      <c r="Q35" s="3">
        <v>0.63</v>
      </c>
      <c r="R35" s="3">
        <v>0.34799999999999998</v>
      </c>
      <c r="S35" s="3">
        <v>3</v>
      </c>
      <c r="T35" s="3">
        <f>ROUNDDOWN((229800+132752)/F1*H1,0)</f>
        <v>363</v>
      </c>
      <c r="U35" s="3" t="s">
        <v>658</v>
      </c>
      <c r="V35" s="3" t="s">
        <v>659</v>
      </c>
      <c r="W35" s="3">
        <v>0.36599999999999999</v>
      </c>
      <c r="X35" s="3">
        <v>0.63400000000000001</v>
      </c>
      <c r="Y35" s="3">
        <v>4</v>
      </c>
      <c r="Z35" s="3">
        <f>ROUNDDOWN((332421+161298)/F1*H1,0)</f>
        <v>495</v>
      </c>
      <c r="AA35" s="3" t="s">
        <v>660</v>
      </c>
      <c r="AB35" s="3" t="s">
        <v>661</v>
      </c>
      <c r="AC35" s="3">
        <v>0.67300000000000004</v>
      </c>
      <c r="AD35" s="3">
        <v>0.32700000000000001</v>
      </c>
      <c r="AE35" s="3">
        <v>5</v>
      </c>
      <c r="AF35" s="3">
        <f>ROUNDDOWN((257843+119846+7555)/F1*H1,0)</f>
        <v>386</v>
      </c>
      <c r="AG35" s="3" t="s">
        <v>662</v>
      </c>
      <c r="AH35" s="3" t="s">
        <v>663</v>
      </c>
      <c r="AI35" s="3">
        <v>0.311</v>
      </c>
      <c r="AJ35" s="3">
        <v>0.66900000000000004</v>
      </c>
      <c r="AK35" s="3">
        <v>6</v>
      </c>
      <c r="AL35" s="3">
        <f>ROUNDDOWN((253531+153598)/F1*H1,0)</f>
        <v>408</v>
      </c>
      <c r="AM35" s="3" t="s">
        <v>664</v>
      </c>
      <c r="AN35" s="3" t="s">
        <v>665</v>
      </c>
      <c r="AO35" s="3">
        <v>0.623</v>
      </c>
      <c r="AP35" s="3">
        <v>0.377</v>
      </c>
      <c r="AQ35" s="3">
        <v>7</v>
      </c>
      <c r="AR35" s="3">
        <f>ROUNDDOWN((272443+179045)/F1*H1,0)</f>
        <v>452</v>
      </c>
      <c r="AS35" s="3" t="s">
        <v>666</v>
      </c>
      <c r="AT35" s="3" t="s">
        <v>667</v>
      </c>
      <c r="AU35" s="3">
        <v>0.39700000000000002</v>
      </c>
      <c r="AV35" s="3">
        <v>0.60299999999999998</v>
      </c>
      <c r="AW35" s="3">
        <v>8</v>
      </c>
      <c r="AX35" s="3">
        <f>ROUNDDOWN((202774+177781)/F1*H1,0)</f>
        <v>381</v>
      </c>
      <c r="AY35" s="3" t="s">
        <v>668</v>
      </c>
      <c r="AZ35" s="3" t="s">
        <v>669</v>
      </c>
      <c r="BA35" s="3">
        <v>0.46700000000000003</v>
      </c>
      <c r="BB35" s="3">
        <v>0.53300000000000003</v>
      </c>
      <c r="BC35" s="3">
        <v>9</v>
      </c>
      <c r="BD35" s="3">
        <f>ROUNDDOWN((224661+179463)/F1*H1,0)</f>
        <v>405</v>
      </c>
      <c r="BE35" s="3" t="s">
        <v>670</v>
      </c>
      <c r="BF35" s="3" t="s">
        <v>671</v>
      </c>
      <c r="BG35" s="3">
        <v>0.44400000000000001</v>
      </c>
      <c r="BH35" s="3">
        <v>0.55600000000000005</v>
      </c>
      <c r="BI35" s="3">
        <v>10</v>
      </c>
      <c r="BJ35" s="3">
        <f>ROUNDDOWN((284095+128189)/F1*H1,0)</f>
        <v>413</v>
      </c>
      <c r="BK35" s="3" t="s">
        <v>672</v>
      </c>
      <c r="BL35" s="3" t="s">
        <v>673</v>
      </c>
      <c r="BM35" s="3">
        <v>0.311</v>
      </c>
      <c r="BN35" s="3">
        <v>0.68899999999999995</v>
      </c>
      <c r="BO35" s="3">
        <v>11</v>
      </c>
      <c r="BP35" s="3">
        <f>ROUNDDOWN((245351+190609+8682+5503)/F1*H1,0)</f>
        <v>451</v>
      </c>
      <c r="BQ35" s="3" t="s">
        <v>674</v>
      </c>
      <c r="BR35" s="3" t="s">
        <v>675</v>
      </c>
      <c r="BS35" s="3">
        <v>0.42299999999999999</v>
      </c>
      <c r="BT35" s="3">
        <v>0.54500000000000004</v>
      </c>
      <c r="BU35" s="3">
        <v>12</v>
      </c>
      <c r="BV35" s="3">
        <f>ROUNDDOWN(341457/F1*H1,0)</f>
        <v>342</v>
      </c>
      <c r="BW35" s="3" t="s">
        <v>676</v>
      </c>
      <c r="BX35" s="3" t="s">
        <v>25</v>
      </c>
      <c r="BY35" s="3">
        <v>1</v>
      </c>
      <c r="BZ35" s="3">
        <v>0</v>
      </c>
      <c r="CA35" s="3">
        <v>13</v>
      </c>
      <c r="CB35" s="3">
        <f>ROUNDDOWN((267181+124684)/F1*H1,0)</f>
        <v>392</v>
      </c>
      <c r="CC35" s="3" t="s">
        <v>677</v>
      </c>
      <c r="CD35" s="3" t="s">
        <v>678</v>
      </c>
      <c r="CE35" s="3">
        <v>0.318</v>
      </c>
      <c r="CF35" s="3">
        <v>0.68200000000000005</v>
      </c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</row>
    <row r="36" spans="1:222" x14ac:dyDescent="0.3">
      <c r="A36" s="3" t="s">
        <v>679</v>
      </c>
      <c r="B36" s="3" t="s">
        <v>25</v>
      </c>
      <c r="C36" s="3" t="s">
        <v>25</v>
      </c>
      <c r="D36" s="3">
        <f>ROUNDDOWN(364251/F1*H1,0)</f>
        <v>365</v>
      </c>
      <c r="E36" s="3">
        <v>3</v>
      </c>
      <c r="F36" s="3">
        <v>1</v>
      </c>
      <c r="G36" s="3">
        <v>1</v>
      </c>
      <c r="H36" s="3">
        <f>ROUNDDOWN((245229+97970+12024)/F1*H1,0)</f>
        <v>356</v>
      </c>
      <c r="I36" s="3" t="s">
        <v>680</v>
      </c>
      <c r="J36" s="3" t="s">
        <v>681</v>
      </c>
      <c r="K36" s="3">
        <v>0.27600000000000002</v>
      </c>
      <c r="L36" s="3">
        <v>0.69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</row>
    <row r="37" spans="1:222" x14ac:dyDescent="0.3">
      <c r="A37" s="4" t="s">
        <v>682</v>
      </c>
      <c r="B37" s="3" t="s">
        <v>25</v>
      </c>
      <c r="C37" s="3" t="s">
        <v>25</v>
      </c>
      <c r="D37" s="3">
        <f>ROUNDDOWN((5974121)/F1*H1,0)</f>
        <v>5991</v>
      </c>
      <c r="E37" s="3">
        <v>18</v>
      </c>
      <c r="F37" s="3">
        <v>16</v>
      </c>
      <c r="G37" s="3">
        <v>1</v>
      </c>
      <c r="H37" s="3">
        <f>ROUNDDOWN((199560+172022+13692)/F1*H1,0)</f>
        <v>386</v>
      </c>
      <c r="I37" s="3" t="s">
        <v>683</v>
      </c>
      <c r="J37" s="3" t="s">
        <v>684</v>
      </c>
      <c r="K37" s="3">
        <v>0.44600000000000001</v>
      </c>
      <c r="L37" s="3">
        <v>0.51800000000000002</v>
      </c>
      <c r="M37" s="3">
        <v>2</v>
      </c>
      <c r="N37" s="3">
        <f>ROUNDDOWN((230430+146781)/F1*H1,0)</f>
        <v>378</v>
      </c>
      <c r="O37" s="3" t="s">
        <v>685</v>
      </c>
      <c r="P37" s="3" t="s">
        <v>686</v>
      </c>
      <c r="Q37" s="3">
        <v>0.38900000000000001</v>
      </c>
      <c r="R37" s="3">
        <v>0.61099999999999999</v>
      </c>
      <c r="S37" s="3">
        <v>3</v>
      </c>
      <c r="T37" s="3">
        <f>ROUNDDOWN((227420+93569)/F1*H1,0)</f>
        <v>321</v>
      </c>
      <c r="U37" s="3" t="s">
        <v>687</v>
      </c>
      <c r="V37" s="3" t="s">
        <v>688</v>
      </c>
      <c r="W37" s="3">
        <v>0.70799999999999996</v>
      </c>
      <c r="X37" s="3">
        <v>0.29199999999999998</v>
      </c>
      <c r="Y37" s="3">
        <v>4</v>
      </c>
      <c r="Z37" s="3">
        <f>ROUNDDOWN((235875+101897+9854)/F1*H1,0)</f>
        <v>348</v>
      </c>
      <c r="AA37" s="3" t="s">
        <v>689</v>
      </c>
      <c r="AB37" s="3" t="s">
        <v>690</v>
      </c>
      <c r="AC37" s="3">
        <v>0.29299999999999998</v>
      </c>
      <c r="AD37" s="3">
        <v>0.67900000000000005</v>
      </c>
      <c r="AE37" s="3">
        <v>5</v>
      </c>
      <c r="AF37" s="3">
        <f>ROUNDDOWN((257019+120962)/F1*H1,0)</f>
        <v>379</v>
      </c>
      <c r="AG37" s="3" t="s">
        <v>691</v>
      </c>
      <c r="AH37" s="3" t="s">
        <v>692</v>
      </c>
      <c r="AI37" s="3">
        <v>0.32</v>
      </c>
      <c r="AJ37" s="3">
        <v>0.68</v>
      </c>
      <c r="AK37" s="3">
        <v>6</v>
      </c>
      <c r="AL37" s="3">
        <f>ROUNDDOWN((249130+85661)/F1*H1,0)</f>
        <v>335</v>
      </c>
      <c r="AM37" s="3" t="s">
        <v>693</v>
      </c>
      <c r="AN37" s="3" t="s">
        <v>694</v>
      </c>
      <c r="AO37" s="3">
        <v>0.25600000000000001</v>
      </c>
      <c r="AP37" s="3">
        <v>0.74399999999999999</v>
      </c>
      <c r="AQ37" s="3">
        <v>7</v>
      </c>
      <c r="AR37" s="3">
        <f>ROUNDDOWN((236607+102271+11671)/F1*H1,0)</f>
        <v>351</v>
      </c>
      <c r="AS37" s="3" t="s">
        <v>695</v>
      </c>
      <c r="AT37" s="3" t="s">
        <v>696</v>
      </c>
      <c r="AU37" s="3">
        <v>0.29199999999999998</v>
      </c>
      <c r="AV37" s="3">
        <v>0.67500000000000004</v>
      </c>
      <c r="AW37" s="3">
        <v>8</v>
      </c>
      <c r="AX37" s="3">
        <f>ROUNDDOWN((246277+110766)/F1*H1,0)</f>
        <v>358</v>
      </c>
      <c r="AY37" s="3" t="s">
        <v>697</v>
      </c>
      <c r="AZ37" s="3" t="s">
        <v>698</v>
      </c>
      <c r="BA37" s="3">
        <v>0.31</v>
      </c>
      <c r="BB37" s="3">
        <v>0.69</v>
      </c>
      <c r="BC37" s="3">
        <v>9</v>
      </c>
      <c r="BD37" s="3">
        <f>ROUNDDOWN((190328+111385)/F1*H1,0)</f>
        <v>302</v>
      </c>
      <c r="BE37" s="3" t="s">
        <v>699</v>
      </c>
      <c r="BF37" s="3" t="s">
        <v>700</v>
      </c>
      <c r="BG37" s="3">
        <v>0.63100000000000001</v>
      </c>
      <c r="BH37" s="3">
        <v>0.36899999999999999</v>
      </c>
      <c r="BI37" s="3">
        <v>10</v>
      </c>
      <c r="BJ37" s="3">
        <f>ROUNDDOWN((212972+151976)/F1*H1,0)</f>
        <v>365</v>
      </c>
      <c r="BK37" s="3" t="s">
        <v>701</v>
      </c>
      <c r="BL37" s="3" t="s">
        <v>702</v>
      </c>
      <c r="BM37" s="3">
        <v>0.41599999999999998</v>
      </c>
      <c r="BN37" s="3">
        <v>0.58399999999999996</v>
      </c>
      <c r="BO37" s="3">
        <v>11</v>
      </c>
      <c r="BP37" s="3">
        <f>ROUNDDOWN((242098+60323)/F1*H1,0)</f>
        <v>303</v>
      </c>
      <c r="BQ37" s="3" t="s">
        <v>703</v>
      </c>
      <c r="BR37" s="3" t="s">
        <v>704</v>
      </c>
      <c r="BS37" s="3">
        <v>0.80100000000000005</v>
      </c>
      <c r="BT37" s="3">
        <v>0.19900000000000001</v>
      </c>
      <c r="BU37" s="3">
        <v>12</v>
      </c>
      <c r="BV37" s="3">
        <f>ROUNDDOWN((241790+182847+13035)/F1*H1,0)</f>
        <v>438</v>
      </c>
      <c r="BW37" s="3" t="s">
        <v>705</v>
      </c>
      <c r="BX37" s="3" t="s">
        <v>706</v>
      </c>
      <c r="BY37" s="3">
        <v>0.41799999999999998</v>
      </c>
      <c r="BZ37" s="3">
        <v>0.55200000000000005</v>
      </c>
      <c r="CA37" s="3">
        <v>13</v>
      </c>
      <c r="CB37" s="3">
        <f>ROUNDDOWN((173631+148648+8522)/F1*H1,0)</f>
        <v>331</v>
      </c>
      <c r="CC37" s="3" t="s">
        <v>707</v>
      </c>
      <c r="CD37" s="3" t="s">
        <v>708</v>
      </c>
      <c r="CE37" s="3">
        <v>0.52500000000000002</v>
      </c>
      <c r="CF37" s="3">
        <v>0.44900000000000001</v>
      </c>
      <c r="CG37" s="3">
        <v>14</v>
      </c>
      <c r="CH37" s="3">
        <f>ROUNDDOWN((158586+238864)/F1*H1,0)</f>
        <v>398</v>
      </c>
      <c r="CI37" s="3" t="s">
        <v>709</v>
      </c>
      <c r="CJ37" s="3" t="s">
        <v>710</v>
      </c>
      <c r="CK37" s="3">
        <v>0.39900000000000002</v>
      </c>
      <c r="CL37" s="3">
        <v>0.60099999999999998</v>
      </c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</row>
    <row r="38" spans="1:222" x14ac:dyDescent="0.3">
      <c r="A38" s="3" t="s">
        <v>711</v>
      </c>
      <c r="B38" s="3" t="s">
        <v>712</v>
      </c>
      <c r="C38" s="3" t="s">
        <v>713</v>
      </c>
      <c r="D38" s="3">
        <f>ROUNDDOWN(1565000/F1*H1,0)</f>
        <v>1569</v>
      </c>
      <c r="E38" s="3">
        <v>7</v>
      </c>
      <c r="F38" s="3">
        <v>5</v>
      </c>
      <c r="G38" s="3">
        <v>1</v>
      </c>
      <c r="H38" s="3">
        <f>ROUNDDOWN((213700+109641+12130)/F1*H1,0)</f>
        <v>336</v>
      </c>
      <c r="I38" s="3" t="s">
        <v>714</v>
      </c>
      <c r="J38" s="3" t="s">
        <v>715</v>
      </c>
      <c r="K38" s="3">
        <v>0.32700000000000001</v>
      </c>
      <c r="L38" s="3">
        <v>0.63700000000000001</v>
      </c>
      <c r="M38" s="3">
        <v>2</v>
      </c>
      <c r="N38" s="3">
        <f>ROUNDDOWN((216511+63472+8544)/F1*H1,0)</f>
        <v>289</v>
      </c>
      <c r="O38" s="3" t="s">
        <v>716</v>
      </c>
      <c r="P38" s="3" t="s">
        <v>717</v>
      </c>
      <c r="Q38" s="3">
        <v>0.22</v>
      </c>
      <c r="R38" s="3">
        <v>0.75</v>
      </c>
      <c r="S38" s="3">
        <v>3</v>
      </c>
      <c r="T38" s="3">
        <f>ROUNDDOWN((242677+66501)/F1*H1,0)</f>
        <v>310</v>
      </c>
      <c r="U38" s="3" t="s">
        <v>718</v>
      </c>
      <c r="V38" s="3" t="s">
        <v>719</v>
      </c>
      <c r="W38" s="3">
        <v>0.215</v>
      </c>
      <c r="X38" s="3">
        <v>0.78500000000000003</v>
      </c>
      <c r="Y38" s="3">
        <v>4</v>
      </c>
      <c r="Z38" s="3">
        <f>ROUNDDOWN((213096+90459+10803)/F1*H1,0)</f>
        <v>315</v>
      </c>
      <c r="AA38" s="3" t="s">
        <v>720</v>
      </c>
      <c r="AB38" s="3" t="s">
        <v>721</v>
      </c>
      <c r="AC38" s="3">
        <v>0.28799999999999998</v>
      </c>
      <c r="AD38" s="3">
        <v>0.67800000000000005</v>
      </c>
      <c r="AE38" s="3">
        <v>5</v>
      </c>
      <c r="AF38" s="3">
        <f>ROUNDDOWN((158191+145658)/F1*H1,0)</f>
        <v>304</v>
      </c>
      <c r="AG38" s="3" t="s">
        <v>722</v>
      </c>
      <c r="AH38" s="3" t="s">
        <v>723</v>
      </c>
      <c r="AI38" s="3">
        <v>0.47899999999999998</v>
      </c>
      <c r="AJ38" s="3">
        <v>0.52100000000000002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</row>
    <row r="39" spans="1:222" x14ac:dyDescent="0.3">
      <c r="A39" s="3" t="s">
        <v>724</v>
      </c>
      <c r="B39" s="3" t="s">
        <v>725</v>
      </c>
      <c r="C39" s="3" t="s">
        <v>726</v>
      </c>
      <c r="D39" s="3">
        <f>ROUNDDOWN(2413914/F1*H1,0)</f>
        <v>2420</v>
      </c>
      <c r="E39" s="3">
        <v>7</v>
      </c>
      <c r="F39" s="3">
        <v>5</v>
      </c>
      <c r="G39" s="3">
        <v>1</v>
      </c>
      <c r="H39" s="3">
        <f>ROUNDDOWN((297071+161928)/F1*H1,0)</f>
        <v>460</v>
      </c>
      <c r="I39" s="3" t="s">
        <v>727</v>
      </c>
      <c r="J39" s="3" t="s">
        <v>728</v>
      </c>
      <c r="K39" s="3">
        <v>0.64700000000000002</v>
      </c>
      <c r="L39" s="3">
        <v>0.35299999999999998</v>
      </c>
      <c r="M39" s="3">
        <v>2</v>
      </c>
      <c r="N39" s="3">
        <f>ROUNDDOWN((273835+168881+14094)/F1*H1,0)</f>
        <v>458</v>
      </c>
      <c r="O39" s="3" t="s">
        <v>729</v>
      </c>
      <c r="P39" s="3" t="s">
        <v>730</v>
      </c>
      <c r="Q39" s="3">
        <v>0.37</v>
      </c>
      <c r="R39" s="3">
        <v>0.59899999999999998</v>
      </c>
      <c r="S39" s="3">
        <v>3</v>
      </c>
      <c r="T39" s="3">
        <f>ROUNDDOWN((343574+110570+8872+6869)/F1*H1,0)</f>
        <v>471</v>
      </c>
      <c r="U39" s="3" t="s">
        <v>731</v>
      </c>
      <c r="V39" s="3" t="s">
        <v>732</v>
      </c>
      <c r="W39" s="3">
        <v>0.73099999999999998</v>
      </c>
      <c r="X39" s="3">
        <v>0.23499999999999999</v>
      </c>
      <c r="Y39" s="3">
        <v>4</v>
      </c>
      <c r="Z39" s="3">
        <f>ROUNDDOWN((240950+216081+10118)/F1*H1,0)</f>
        <v>468</v>
      </c>
      <c r="AA39" s="3" t="s">
        <v>733</v>
      </c>
      <c r="AB39" s="3" t="s">
        <v>734</v>
      </c>
      <c r="AC39" s="3">
        <v>0.51600000000000001</v>
      </c>
      <c r="AD39" s="3">
        <v>0.46300000000000002</v>
      </c>
      <c r="AE39" s="3">
        <v>5</v>
      </c>
      <c r="AF39" s="3">
        <f>ROUNDDOWN((234863+204372+12640)/F1*H1,0)</f>
        <v>453</v>
      </c>
      <c r="AG39" s="3" t="s">
        <v>735</v>
      </c>
      <c r="AH39" s="3" t="s">
        <v>736</v>
      </c>
      <c r="AI39" s="3">
        <v>0.52</v>
      </c>
      <c r="AJ39" s="3">
        <v>0.45200000000000001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</row>
    <row r="40" spans="1:222" x14ac:dyDescent="0.3">
      <c r="A40" s="4" t="s">
        <v>737</v>
      </c>
      <c r="B40" s="3" t="s">
        <v>25</v>
      </c>
      <c r="C40" s="3" t="s">
        <v>25</v>
      </c>
      <c r="D40" s="3">
        <f>ROUNDDOWN(6950000/F1*H1,0)</f>
        <v>6969</v>
      </c>
      <c r="E40" s="3">
        <v>20</v>
      </c>
      <c r="F40" s="3">
        <v>18</v>
      </c>
      <c r="G40" s="3">
        <v>1</v>
      </c>
      <c r="H40" s="3">
        <f>ROUNDDOWN((249804+191875)/F1*H1,0)</f>
        <v>442</v>
      </c>
      <c r="I40" s="3" t="s">
        <v>738</v>
      </c>
      <c r="J40" s="3" t="s">
        <v>739</v>
      </c>
      <c r="K40" s="3">
        <v>0.434</v>
      </c>
      <c r="L40" s="3">
        <v>0.56599999999999995</v>
      </c>
      <c r="M40" s="3">
        <v>2</v>
      </c>
      <c r="N40" s="3">
        <f>ROUNDDOWN((198140+75022)/F1*H1,0)</f>
        <v>273</v>
      </c>
      <c r="O40" s="3" t="s">
        <v>740</v>
      </c>
      <c r="P40" s="3" t="s">
        <v>741</v>
      </c>
      <c r="Q40" s="3">
        <v>0.72499999999999998</v>
      </c>
      <c r="R40" s="3">
        <v>0.27500000000000002</v>
      </c>
      <c r="S40" s="3">
        <v>3</v>
      </c>
      <c r="T40" s="3">
        <f>ROUNDDOWN((341708+33671)/F1*H1,0)</f>
        <v>376</v>
      </c>
      <c r="U40" s="3" t="s">
        <v>742</v>
      </c>
      <c r="V40" s="3" t="s">
        <v>743</v>
      </c>
      <c r="W40" s="3">
        <v>0.91</v>
      </c>
      <c r="X40" s="3">
        <v>0.09</v>
      </c>
      <c r="Y40" s="3">
        <v>4</v>
      </c>
      <c r="Z40" s="3">
        <f>ROUNDDOWN((264637+179926)/F1*H1,0)</f>
        <v>445</v>
      </c>
      <c r="AA40" s="3" t="s">
        <v>744</v>
      </c>
      <c r="AB40" s="3" t="s">
        <v>745</v>
      </c>
      <c r="AC40" s="3">
        <v>0.59499999999999997</v>
      </c>
      <c r="AD40" s="3">
        <v>0.40500000000000003</v>
      </c>
      <c r="AE40" s="3">
        <v>5</v>
      </c>
      <c r="AF40" s="3">
        <f>ROUNDDOWN((255743+139552)/F1*H1,0)</f>
        <v>396</v>
      </c>
      <c r="AG40" s="3" t="s">
        <v>746</v>
      </c>
      <c r="AH40" s="3" t="s">
        <v>747</v>
      </c>
      <c r="AI40" s="3">
        <v>0.64700000000000002</v>
      </c>
      <c r="AJ40" s="3">
        <v>0.35299999999999998</v>
      </c>
      <c r="AK40" s="3">
        <v>6</v>
      </c>
      <c r="AL40" s="3">
        <f>ROUNDDOWN((226440+177526)/F1*H1,0)</f>
        <v>405</v>
      </c>
      <c r="AM40" s="3" t="s">
        <v>748</v>
      </c>
      <c r="AN40" s="3" t="s">
        <v>749</v>
      </c>
      <c r="AO40" s="3">
        <v>0.56100000000000005</v>
      </c>
      <c r="AP40" s="3">
        <v>0.439</v>
      </c>
      <c r="AQ40" s="3">
        <v>7</v>
      </c>
      <c r="AR40" s="3">
        <f>ROUNDDOWN((195713+181569)/F1*H1,0)</f>
        <v>378</v>
      </c>
      <c r="AS40" s="3" t="s">
        <v>750</v>
      </c>
      <c r="AT40" s="3" t="s">
        <v>751</v>
      </c>
      <c r="AU40" s="3">
        <v>0.51900000000000002</v>
      </c>
      <c r="AV40" s="3">
        <v>0.48099999999999998</v>
      </c>
      <c r="AW40" s="3">
        <v>8</v>
      </c>
      <c r="AX40" s="3">
        <f>ROUNDDOWN((178407+166201)/F1*H1,0)</f>
        <v>345</v>
      </c>
      <c r="AY40" s="3" t="s">
        <v>752</v>
      </c>
      <c r="AZ40" s="3" t="s">
        <v>753</v>
      </c>
      <c r="BA40" s="3">
        <v>0.51800000000000002</v>
      </c>
      <c r="BB40" s="3">
        <v>0.48199999999999998</v>
      </c>
      <c r="BC40" s="3">
        <v>9</v>
      </c>
      <c r="BD40" s="3">
        <f>ROUNDDOWN((232988+118266)/F1*H1,0)</f>
        <v>352</v>
      </c>
      <c r="BE40" s="3" t="s">
        <v>754</v>
      </c>
      <c r="BF40" s="3" t="s">
        <v>755</v>
      </c>
      <c r="BG40" s="3">
        <v>0.33700000000000002</v>
      </c>
      <c r="BH40" s="3">
        <v>0.66300000000000003</v>
      </c>
      <c r="BI40" s="3">
        <v>10</v>
      </c>
      <c r="BJ40" s="3">
        <f>ROUNDDOWN((208896+182938)/F1*H1,0)</f>
        <v>392</v>
      </c>
      <c r="BK40" s="3" t="s">
        <v>756</v>
      </c>
      <c r="BL40" s="3" t="s">
        <v>757</v>
      </c>
      <c r="BM40" s="3">
        <v>0.46700000000000003</v>
      </c>
      <c r="BN40" s="3">
        <v>0.53300000000000003</v>
      </c>
      <c r="BO40" s="3">
        <v>11</v>
      </c>
      <c r="BP40" s="3">
        <f>ROUNDDOWN((241915+141325)/F1*H1,0)</f>
        <v>384</v>
      </c>
      <c r="BQ40" s="3" t="s">
        <v>758</v>
      </c>
      <c r="BR40" s="3" t="s">
        <v>759</v>
      </c>
      <c r="BS40" s="3">
        <v>0.36899999999999999</v>
      </c>
      <c r="BT40" s="3">
        <v>0.63100000000000001</v>
      </c>
      <c r="BU40" s="3">
        <v>12</v>
      </c>
      <c r="BV40" s="3">
        <f>ROUNDDOWN((240717+99052)/F1*H1,0)</f>
        <v>340</v>
      </c>
      <c r="BW40" s="3" t="s">
        <v>760</v>
      </c>
      <c r="BX40" s="3" t="s">
        <v>761</v>
      </c>
      <c r="BY40" s="3">
        <v>0.29199999999999998</v>
      </c>
      <c r="BZ40" s="3">
        <v>0.70799999999999996</v>
      </c>
      <c r="CA40" s="3">
        <v>13</v>
      </c>
      <c r="CB40" s="3">
        <f>ROUNDDOWN((267789+96612)/F1*H1,0)</f>
        <v>365</v>
      </c>
      <c r="CC40" s="3" t="s">
        <v>762</v>
      </c>
      <c r="CD40" s="3" t="s">
        <v>763</v>
      </c>
      <c r="CE40" s="3">
        <v>0.26500000000000001</v>
      </c>
      <c r="CF40" s="3">
        <v>0.73499999999999999</v>
      </c>
      <c r="CG40" s="3">
        <v>14</v>
      </c>
      <c r="CH40" s="3">
        <f>ROUNDDOWN((241668+131862)/F1*H1,0)</f>
        <v>374</v>
      </c>
      <c r="CI40" s="3" t="s">
        <v>764</v>
      </c>
      <c r="CJ40" s="3" t="s">
        <v>765</v>
      </c>
      <c r="CK40" s="3">
        <v>0.35299999999999998</v>
      </c>
      <c r="CL40" s="3">
        <v>0.64700000000000002</v>
      </c>
      <c r="CM40" s="3">
        <v>15</v>
      </c>
      <c r="CN40" s="3">
        <f>ROUNDDOWN((255051+92143)/F1*H1,0)</f>
        <v>348</v>
      </c>
      <c r="CO40" s="3" t="s">
        <v>766</v>
      </c>
      <c r="CP40" s="3" t="s">
        <v>767</v>
      </c>
      <c r="CQ40" s="3">
        <v>0.26500000000000001</v>
      </c>
      <c r="CR40" s="3">
        <v>0.73499999999999999</v>
      </c>
      <c r="CS40" s="3">
        <v>16</v>
      </c>
      <c r="CT40" s="3">
        <f>ROUNDDOWN((210008+143865)/F1*H1,0)</f>
        <v>354</v>
      </c>
      <c r="CU40" s="3" t="s">
        <v>768</v>
      </c>
      <c r="CV40" s="3" t="s">
        <v>769</v>
      </c>
      <c r="CW40" s="3">
        <v>0.40699999999999997</v>
      </c>
      <c r="CX40" s="3">
        <v>0.59299999999999997</v>
      </c>
      <c r="CY40" s="3">
        <v>17</v>
      </c>
      <c r="CZ40" s="3">
        <f>ROUNDDOWN((222242+212279)/F1*H1,0)</f>
        <v>435</v>
      </c>
      <c r="DA40" s="3" t="s">
        <v>770</v>
      </c>
      <c r="DB40" s="3" t="s">
        <v>771</v>
      </c>
      <c r="DC40" s="3">
        <v>0.51100000000000001</v>
      </c>
      <c r="DD40">
        <v>0.48899999999999999</v>
      </c>
      <c r="DE40">
        <v>18</v>
      </c>
      <c r="DF40">
        <f>ROUNDDOWN((266084+118163)/F1*H1,0)</f>
        <v>385</v>
      </c>
      <c r="DG40" t="s">
        <v>772</v>
      </c>
      <c r="DH40" t="s">
        <v>773</v>
      </c>
      <c r="DI40">
        <v>0.69199999999999995</v>
      </c>
      <c r="DJ40">
        <v>0.308</v>
      </c>
    </row>
    <row r="41" spans="1:222" x14ac:dyDescent="0.3">
      <c r="A41" s="3" t="s">
        <v>774</v>
      </c>
      <c r="B41" s="3" t="s">
        <v>775</v>
      </c>
      <c r="C41" s="3" t="s">
        <v>776</v>
      </c>
      <c r="D41" s="3">
        <f>ROUNDDOWN((525000)/F1*H1,0)</f>
        <v>526</v>
      </c>
      <c r="E41" s="3">
        <v>4</v>
      </c>
      <c r="F41" s="3">
        <v>2</v>
      </c>
      <c r="G41" s="3">
        <v>1</v>
      </c>
      <c r="H41" s="3">
        <f>ROUNDDOWN((158550+35457+28300)/F1*H1,0)</f>
        <v>222</v>
      </c>
      <c r="I41" s="3" t="s">
        <v>777</v>
      </c>
      <c r="J41" s="3" t="s">
        <v>778</v>
      </c>
      <c r="K41" s="3">
        <v>0.71299999999999997</v>
      </c>
      <c r="L41" s="3">
        <v>0.159</v>
      </c>
      <c r="M41" s="3">
        <v>2</v>
      </c>
      <c r="N41" s="3">
        <f>ROUNDDOWN((154086+109894)/F1*H1,0)</f>
        <v>264</v>
      </c>
      <c r="O41" s="3" t="s">
        <v>779</v>
      </c>
      <c r="P41" s="3" t="s">
        <v>780</v>
      </c>
      <c r="Q41" s="3">
        <v>0.58399999999999996</v>
      </c>
      <c r="R41" s="3">
        <v>0.41599999999999998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</row>
    <row r="42" spans="1:222" x14ac:dyDescent="0.3">
      <c r="A42" s="3" t="s">
        <v>781</v>
      </c>
      <c r="B42" s="3" t="s">
        <v>782</v>
      </c>
      <c r="C42" s="3" t="s">
        <v>783</v>
      </c>
      <c r="D42" s="3">
        <f>ROUNDDOWN(2533010/F1*H1,0)</f>
        <v>2540</v>
      </c>
      <c r="E42" s="3">
        <v>9</v>
      </c>
      <c r="F42" s="3">
        <v>7</v>
      </c>
      <c r="G42" s="3">
        <v>1</v>
      </c>
      <c r="H42" s="3">
        <f>ROUNDDOWN((216042+210627)/F1*H1,0)</f>
        <v>427</v>
      </c>
      <c r="I42" s="3" t="s">
        <v>784</v>
      </c>
      <c r="J42" s="3" t="s">
        <v>785</v>
      </c>
      <c r="K42" s="3">
        <v>0.49399999999999999</v>
      </c>
      <c r="L42" s="3">
        <v>0.50600000000000001</v>
      </c>
      <c r="M42" s="3">
        <v>2</v>
      </c>
      <c r="N42" s="3">
        <f>ROUNDDOWN((202715+155118+6163)/F1*H1,0)</f>
        <v>365</v>
      </c>
      <c r="O42" s="3" t="s">
        <v>786</v>
      </c>
      <c r="P42" s="3" t="s">
        <v>787</v>
      </c>
      <c r="Q42" s="3">
        <v>0.42599999999999999</v>
      </c>
      <c r="R42" s="3">
        <v>0.55700000000000005</v>
      </c>
      <c r="S42" s="3">
        <v>3</v>
      </c>
      <c r="T42" s="3">
        <f>ROUNDDOWN((237544+95712)/F1*H1,0)</f>
        <v>334</v>
      </c>
      <c r="U42" s="3" t="s">
        <v>788</v>
      </c>
      <c r="V42" s="3" t="s">
        <v>789</v>
      </c>
      <c r="W42" s="3">
        <v>0.28699999999999998</v>
      </c>
      <c r="X42" s="3">
        <v>0.71299999999999997</v>
      </c>
      <c r="Y42" s="3">
        <v>4</v>
      </c>
      <c r="Z42" s="3">
        <f>ROUNDDOWN((222126+133023+5090)/F1*H1,0)</f>
        <v>361</v>
      </c>
      <c r="AA42" s="3" t="s">
        <v>790</v>
      </c>
      <c r="AB42" s="3" t="s">
        <v>791</v>
      </c>
      <c r="AC42" s="3">
        <v>0.36899999999999999</v>
      </c>
      <c r="AD42" s="3">
        <v>0.61699999999999999</v>
      </c>
      <c r="AE42" s="3">
        <v>5</v>
      </c>
      <c r="AF42" s="3">
        <f>ROUNDDOWN((220006+145979)/F1*H1,0)</f>
        <v>367</v>
      </c>
      <c r="AG42" s="3" t="s">
        <v>792</v>
      </c>
      <c r="AH42" s="3" t="s">
        <v>793</v>
      </c>
      <c r="AI42" s="3">
        <v>0.39900000000000002</v>
      </c>
      <c r="AJ42" s="3">
        <v>0.60099999999999998</v>
      </c>
      <c r="AK42" s="3">
        <v>6</v>
      </c>
      <c r="AL42" s="3">
        <f>ROUNDDOWN((197477+89258+2646)/F1*H1,0)</f>
        <v>290</v>
      </c>
      <c r="AM42" s="3" t="s">
        <v>794</v>
      </c>
      <c r="AN42" s="3" t="s">
        <v>795</v>
      </c>
      <c r="AO42" s="3">
        <v>0.308</v>
      </c>
      <c r="AP42" s="3">
        <v>0.68200000000000005</v>
      </c>
      <c r="AQ42" s="3">
        <v>7</v>
      </c>
      <c r="AR42" s="3">
        <f>ROUNDDOWN((224993+138863)/F1*H1,0)</f>
        <v>364</v>
      </c>
      <c r="AS42" s="3" t="s">
        <v>796</v>
      </c>
      <c r="AT42" s="3" t="s">
        <v>797</v>
      </c>
      <c r="AU42" s="3">
        <v>0.38200000000000001</v>
      </c>
      <c r="AV42" s="3">
        <v>0.61799999999999999</v>
      </c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</row>
    <row r="43" spans="1:222" x14ac:dyDescent="0.3">
      <c r="A43" s="3" t="s">
        <v>798</v>
      </c>
      <c r="B43" s="3" t="s">
        <v>799</v>
      </c>
      <c r="C43" s="3" t="s">
        <v>800</v>
      </c>
      <c r="D43" s="3">
        <f>ROUNDDOWN(427529/F1*H1,0)</f>
        <v>428</v>
      </c>
      <c r="E43" s="3">
        <v>3</v>
      </c>
      <c r="F43" s="3">
        <v>1</v>
      </c>
      <c r="G43" s="3">
        <v>1</v>
      </c>
      <c r="H43" s="3">
        <f>ROUNDDOWN((321984+75748)/F1*H1,0)</f>
        <v>398</v>
      </c>
      <c r="I43" s="3" t="s">
        <v>801</v>
      </c>
      <c r="J43" s="3" t="s">
        <v>802</v>
      </c>
      <c r="K43" s="3">
        <v>0.19</v>
      </c>
      <c r="L43" s="3">
        <v>0.81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</row>
    <row r="44" spans="1:222" x14ac:dyDescent="0.3">
      <c r="A44" s="3" t="s">
        <v>803</v>
      </c>
      <c r="B44" s="3" t="s">
        <v>804</v>
      </c>
      <c r="C44" s="3" t="s">
        <v>805</v>
      </c>
      <c r="D44" s="3">
        <f>ROUNDDOWN(3065000/F1*H1,0)</f>
        <v>3073</v>
      </c>
      <c r="E44" s="3">
        <v>11</v>
      </c>
      <c r="F44" s="3">
        <v>9</v>
      </c>
      <c r="G44" s="3">
        <v>1</v>
      </c>
      <c r="H44" s="3">
        <f>ROUNDDOWN((228181+68617+8621)/F1*H1,0)</f>
        <v>306</v>
      </c>
      <c r="I44" s="3" t="s">
        <v>806</v>
      </c>
      <c r="J44" s="3" t="s">
        <v>807</v>
      </c>
      <c r="K44" s="3">
        <v>0.22500000000000001</v>
      </c>
      <c r="L44" s="3">
        <v>0.747</v>
      </c>
      <c r="M44" s="3">
        <v>2</v>
      </c>
      <c r="N44" s="3">
        <f>ROUNDDOWN((238907+109684+4592)/F1*H1,0)</f>
        <v>354</v>
      </c>
      <c r="O44" s="3" t="s">
        <v>808</v>
      </c>
      <c r="P44" s="3" t="s">
        <v>809</v>
      </c>
      <c r="Q44" s="3">
        <v>0.311</v>
      </c>
      <c r="R44" s="3">
        <v>0.67600000000000005</v>
      </c>
      <c r="S44" s="3">
        <v>3</v>
      </c>
      <c r="T44" s="3">
        <f>ROUNDDOWN((215571+97687+5043+1990)/F1*H1,0)</f>
        <v>321</v>
      </c>
      <c r="U44" s="3" t="s">
        <v>810</v>
      </c>
      <c r="V44" s="3" t="s">
        <v>811</v>
      </c>
      <c r="W44" s="3">
        <v>0.30499999999999999</v>
      </c>
      <c r="X44" s="3">
        <v>0.67300000000000004</v>
      </c>
      <c r="Y44" s="3">
        <v>4</v>
      </c>
      <c r="Z44" s="3">
        <f>ROUNDDOWN((223802+111908)/F1*H1,0)</f>
        <v>336</v>
      </c>
      <c r="AA44" s="3" t="s">
        <v>812</v>
      </c>
      <c r="AB44" s="3" t="s">
        <v>813</v>
      </c>
      <c r="AC44" s="3">
        <v>0.33300000000000002</v>
      </c>
      <c r="AD44" s="3">
        <v>0.66700000000000004</v>
      </c>
      <c r="AE44" s="3">
        <v>5</v>
      </c>
      <c r="AF44" s="3">
        <f>ROUNDDOWN((252155+13+1)/F1*H1,0)</f>
        <v>252</v>
      </c>
      <c r="AG44" s="3" t="s">
        <v>814</v>
      </c>
      <c r="AH44" s="3" t="s">
        <v>25</v>
      </c>
      <c r="AI44" s="3">
        <v>1</v>
      </c>
      <c r="AJ44" s="3">
        <v>0</v>
      </c>
      <c r="AK44" s="3">
        <v>6</v>
      </c>
      <c r="AL44" s="3">
        <f>ROUNDDOWN((257572+83852+8154)/F1*H1,0)</f>
        <v>350</v>
      </c>
      <c r="AM44" s="3" t="s">
        <v>815</v>
      </c>
      <c r="AN44" s="3" t="s">
        <v>816</v>
      </c>
      <c r="AO44" s="3">
        <v>0.24</v>
      </c>
      <c r="AP44" s="3">
        <v>0.73699999999999999</v>
      </c>
      <c r="AQ44" s="3">
        <v>7</v>
      </c>
      <c r="AR44" s="3">
        <f>ROUNDDOWN((245188+95839+7603+2005)/F1*H1,0)</f>
        <v>351</v>
      </c>
      <c r="AS44" s="3" t="s">
        <v>817</v>
      </c>
      <c r="AT44" s="3" t="s">
        <v>818</v>
      </c>
      <c r="AU44" s="3">
        <v>0.27300000000000002</v>
      </c>
      <c r="AV44" s="3">
        <v>0.69899999999999995</v>
      </c>
      <c r="AW44" s="3">
        <v>8</v>
      </c>
      <c r="AX44" s="3">
        <f>ROUNDDOWN((227216+97890+3763+2984)/F1*H1,0)</f>
        <v>332</v>
      </c>
      <c r="AY44" s="3" t="s">
        <v>819</v>
      </c>
      <c r="AZ44" s="3" t="s">
        <v>820</v>
      </c>
      <c r="BA44" s="3">
        <v>0.29499999999999998</v>
      </c>
      <c r="BB44" s="3">
        <v>0.68500000000000005</v>
      </c>
      <c r="BC44" s="3">
        <v>9</v>
      </c>
      <c r="BD44" s="3">
        <f>ROUNDDOWN((187905+48818+3962+2192)/F1*H1,0)</f>
        <v>243</v>
      </c>
      <c r="BE44" s="3" t="s">
        <v>821</v>
      </c>
      <c r="BF44" s="3" t="s">
        <v>822</v>
      </c>
      <c r="BG44" s="3">
        <v>0.77400000000000002</v>
      </c>
      <c r="BH44" s="3">
        <v>0.20100000000000001</v>
      </c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</row>
    <row r="45" spans="1:222" x14ac:dyDescent="0.3">
      <c r="A45" s="4" t="s">
        <v>823</v>
      </c>
      <c r="B45" s="3" t="s">
        <v>824</v>
      </c>
      <c r="C45" s="3" t="s">
        <v>825</v>
      </c>
      <c r="D45" s="3">
        <f>ROUNDDOWN((5962983+4888764+209722+81893)/F1*H1,0)</f>
        <v>11175</v>
      </c>
      <c r="E45" s="3">
        <v>38</v>
      </c>
      <c r="F45" s="3">
        <v>36</v>
      </c>
      <c r="G45" s="3">
        <v>1</v>
      </c>
      <c r="H45" s="3">
        <f>ROUNDDOWN((219726+83016)/F1*H1,0)</f>
        <v>303</v>
      </c>
      <c r="I45" s="3" t="s">
        <v>826</v>
      </c>
      <c r="J45" s="3" t="s">
        <v>827</v>
      </c>
      <c r="K45" s="3">
        <v>0.27400000000000002</v>
      </c>
      <c r="L45" s="3">
        <v>0.72599999999999998</v>
      </c>
      <c r="M45" s="3">
        <v>2</v>
      </c>
      <c r="N45" s="3">
        <f>ROUNDDOWN((192828+148374+5524)/F1*H1,0)</f>
        <v>347</v>
      </c>
      <c r="O45" s="3" t="s">
        <v>828</v>
      </c>
      <c r="P45" s="3" t="s">
        <v>829</v>
      </c>
      <c r="Q45" s="3">
        <v>0.42799999999999999</v>
      </c>
      <c r="R45" s="3">
        <v>0.55600000000000005</v>
      </c>
      <c r="S45" s="3">
        <v>3</v>
      </c>
      <c r="T45" s="3">
        <f>ROUNDDOWN((230512+179458+8621)/F1*H1,0)</f>
        <v>419</v>
      </c>
      <c r="U45" s="3" t="s">
        <v>830</v>
      </c>
      <c r="V45" s="3" t="s">
        <v>831</v>
      </c>
      <c r="W45" s="3">
        <v>0.42899999999999999</v>
      </c>
      <c r="X45" s="3">
        <v>0.55100000000000005</v>
      </c>
      <c r="Y45" s="3">
        <v>4</v>
      </c>
      <c r="Z45" s="3">
        <f>ROUNDDOWN((253837+76326+6334)/F1*H1,0)</f>
        <v>337</v>
      </c>
      <c r="AA45" s="3" t="s">
        <v>832</v>
      </c>
      <c r="AB45" s="3" t="s">
        <v>833</v>
      </c>
      <c r="AC45" s="3">
        <v>0.22700000000000001</v>
      </c>
      <c r="AD45" s="3">
        <v>0.754</v>
      </c>
      <c r="AE45" s="3">
        <v>5</v>
      </c>
      <c r="AF45" s="3">
        <f>ROUNDDOWN((173836+100743+5834)/F1*H1,0)</f>
        <v>281</v>
      </c>
      <c r="AG45" s="3" t="s">
        <v>834</v>
      </c>
      <c r="AH45" s="3" t="s">
        <v>835</v>
      </c>
      <c r="AI45" s="3">
        <v>0.35899999999999999</v>
      </c>
      <c r="AJ45" s="3">
        <v>0.62</v>
      </c>
      <c r="AK45" s="3">
        <v>6</v>
      </c>
      <c r="AL45" s="3">
        <f>ROUNDDOWN((179507+149530+10955)/F1*H1,0)</f>
        <v>340</v>
      </c>
      <c r="AM45" s="3" t="s">
        <v>836</v>
      </c>
      <c r="AN45" s="3" t="s">
        <v>837</v>
      </c>
      <c r="AO45" s="3">
        <v>0.44</v>
      </c>
      <c r="AP45" s="3">
        <v>0.52800000000000002</v>
      </c>
      <c r="AQ45" s="3">
        <v>7</v>
      </c>
      <c r="AR45" s="3">
        <f>ROUNDDOWN((159529+149054+5542)/F1*H1,0)</f>
        <v>315</v>
      </c>
      <c r="AS45" s="3" t="s">
        <v>838</v>
      </c>
      <c r="AT45" s="3" t="s">
        <v>839</v>
      </c>
      <c r="AU45" s="3">
        <v>0.50800000000000001</v>
      </c>
      <c r="AV45" s="3">
        <v>0.47499999999999998</v>
      </c>
      <c r="AW45" s="3">
        <v>8</v>
      </c>
      <c r="AX45" s="3">
        <f>ROUNDDOWN((277327+97409+7735)/F1*H1,0)</f>
        <v>383</v>
      </c>
      <c r="AY45" s="3" t="s">
        <v>840</v>
      </c>
      <c r="AZ45" s="3" t="s">
        <v>841</v>
      </c>
      <c r="BA45" s="3">
        <v>0.255</v>
      </c>
      <c r="BB45" s="3">
        <v>0.72499999999999998</v>
      </c>
      <c r="BC45" s="3">
        <v>9</v>
      </c>
      <c r="BD45" s="3">
        <f>ROUNDDOWN((172938+49575+6594)/F1*H1,0)</f>
        <v>229</v>
      </c>
      <c r="BE45" s="3" t="s">
        <v>842</v>
      </c>
      <c r="BF45" s="3" t="s">
        <v>843</v>
      </c>
      <c r="BG45" s="3">
        <v>0.755</v>
      </c>
      <c r="BH45" s="3">
        <v>0.216</v>
      </c>
      <c r="BI45" s="3">
        <v>10</v>
      </c>
      <c r="BJ45" s="3">
        <f>ROUNDDOWN((217216+187686+8992)/F1*H1,0)</f>
        <v>415</v>
      </c>
      <c r="BK45" s="3" t="s">
        <v>844</v>
      </c>
      <c r="BL45" s="3" t="s">
        <v>845</v>
      </c>
      <c r="BM45" s="3">
        <v>0.45300000000000001</v>
      </c>
      <c r="BN45" s="3">
        <v>0.52500000000000002</v>
      </c>
      <c r="BO45" s="3">
        <v>11</v>
      </c>
      <c r="BP45" s="3">
        <f>ROUNDDOWN((232568+53394+5811)/F1*H1,0)</f>
        <v>292</v>
      </c>
      <c r="BQ45" s="3" t="s">
        <v>846</v>
      </c>
      <c r="BR45" s="3" t="s">
        <v>847</v>
      </c>
      <c r="BS45" s="3">
        <v>0.183</v>
      </c>
      <c r="BT45" s="3">
        <v>0.79700000000000004</v>
      </c>
      <c r="BU45" s="3">
        <v>12</v>
      </c>
      <c r="BV45" s="3">
        <f>ROUNDDOWN((233853+121250+11918)/F1*H1,0)</f>
        <v>368</v>
      </c>
      <c r="BW45" s="3" t="s">
        <v>848</v>
      </c>
      <c r="BX45" s="3" t="s">
        <v>849</v>
      </c>
      <c r="BY45" s="3">
        <v>0.33</v>
      </c>
      <c r="BZ45" s="3">
        <v>0.63700000000000001</v>
      </c>
      <c r="CA45" s="3">
        <v>13</v>
      </c>
      <c r="CB45" s="3">
        <f>ROUNDDOWN((217124+50477+5907)/F1*H1,0)</f>
        <v>274</v>
      </c>
      <c r="CC45" s="3" t="s">
        <v>850</v>
      </c>
      <c r="CD45" s="3" t="s">
        <v>851</v>
      </c>
      <c r="CE45" s="3">
        <v>0.185</v>
      </c>
      <c r="CF45" s="3">
        <v>0.79400000000000004</v>
      </c>
      <c r="CG45" s="3">
        <v>14</v>
      </c>
      <c r="CH45" s="3">
        <f>ROUNDDOWN((190541+118574)/F1*H1,0)</f>
        <v>309</v>
      </c>
      <c r="CI45" s="3" t="s">
        <v>852</v>
      </c>
      <c r="CJ45" s="3" t="s">
        <v>853</v>
      </c>
      <c r="CK45" s="3">
        <v>0.38400000000000001</v>
      </c>
      <c r="CL45" s="3">
        <v>0.61599999999999999</v>
      </c>
      <c r="CM45" s="3">
        <v>15</v>
      </c>
      <c r="CN45" s="3">
        <f>ROUNDDOWN((115605+109017+4295)/F1*H1,0)</f>
        <v>229</v>
      </c>
      <c r="CO45" s="3" t="s">
        <v>854</v>
      </c>
      <c r="CP45" s="3" t="s">
        <v>855</v>
      </c>
      <c r="CQ45" s="3">
        <v>0.505</v>
      </c>
      <c r="CR45" s="3">
        <v>0.47599999999999998</v>
      </c>
      <c r="CS45" s="3">
        <v>16</v>
      </c>
      <c r="CT45" s="3">
        <f>ROUNDDOWN((154108+84006)/F1*H1,0)</f>
        <v>238</v>
      </c>
      <c r="CU45" s="3" t="s">
        <v>856</v>
      </c>
      <c r="CV45" s="3" t="s">
        <v>857</v>
      </c>
      <c r="CW45" s="3">
        <v>0.64700000000000002</v>
      </c>
      <c r="CX45" s="3">
        <v>0.35299999999999998</v>
      </c>
      <c r="CY45" s="3">
        <v>17</v>
      </c>
      <c r="CZ45" s="3">
        <f>ROUNDDOWN((171390+125565+9918)/F1*H1,0)</f>
        <v>307</v>
      </c>
      <c r="DA45" s="3" t="s">
        <v>858</v>
      </c>
      <c r="DB45" s="3" t="s">
        <v>859</v>
      </c>
      <c r="DC45" s="3">
        <v>0.40899999999999997</v>
      </c>
      <c r="DD45">
        <v>0.55900000000000005</v>
      </c>
      <c r="DE45">
        <v>18</v>
      </c>
      <c r="DF45">
        <f>ROUNDDOWN((180952+58033+4514+3396)/F1*H1,0)</f>
        <v>247</v>
      </c>
      <c r="DG45" t="s">
        <v>860</v>
      </c>
      <c r="DH45" t="s">
        <v>861</v>
      </c>
      <c r="DI45">
        <v>0.73299999999999998</v>
      </c>
      <c r="DJ45">
        <v>0.23499999999999999</v>
      </c>
      <c r="DK45">
        <v>19</v>
      </c>
      <c r="DL45">
        <f>ROUNDDOWN((198198+60583+6271)/F1*H1,0)</f>
        <v>265</v>
      </c>
      <c r="DM45" t="s">
        <v>862</v>
      </c>
      <c r="DN45" t="s">
        <v>863</v>
      </c>
      <c r="DO45">
        <v>0.22900000000000001</v>
      </c>
      <c r="DP45">
        <v>0.748</v>
      </c>
      <c r="DQ45">
        <v>20</v>
      </c>
      <c r="DR45">
        <f>ROUNDDOWN((175078+89628+6017)/F1*H1,0)</f>
        <v>271</v>
      </c>
      <c r="DS45" t="s">
        <v>864</v>
      </c>
      <c r="DT45" t="s">
        <v>865</v>
      </c>
      <c r="DU45">
        <v>0.33100000000000002</v>
      </c>
      <c r="DV45">
        <v>0.64700000000000002</v>
      </c>
      <c r="DW45">
        <v>21</v>
      </c>
      <c r="DX45">
        <f>ROUNDDOWN((235740+205780+8666+3564)/F1*H1,0)</f>
        <v>455</v>
      </c>
      <c r="DY45" t="s">
        <v>866</v>
      </c>
      <c r="DZ45" t="s">
        <v>867</v>
      </c>
      <c r="EA45">
        <v>0.45400000000000001</v>
      </c>
      <c r="EB45">
        <v>0.52</v>
      </c>
      <c r="EC45">
        <v>22</v>
      </c>
      <c r="ED45">
        <f>ROUNDDOWN((210259+181998+15791)/F1*H1,0)</f>
        <v>409</v>
      </c>
      <c r="EE45" t="s">
        <v>868</v>
      </c>
      <c r="EF45" t="s">
        <v>869</v>
      </c>
      <c r="EG45">
        <v>0.44600000000000001</v>
      </c>
      <c r="EH45">
        <v>0.51500000000000001</v>
      </c>
      <c r="EI45">
        <v>23</v>
      </c>
      <c r="EJ45">
        <f>ROUNDDOWN((149395+137693+8369)/F1*H1,0)</f>
        <v>296</v>
      </c>
      <c r="EK45" t="s">
        <v>870</v>
      </c>
      <c r="EL45" t="s">
        <v>871</v>
      </c>
      <c r="EM45">
        <v>0.46600000000000003</v>
      </c>
      <c r="EN45">
        <v>0.50600000000000001</v>
      </c>
      <c r="EO45">
        <v>24</v>
      </c>
      <c r="EP45">
        <f>ROUNDDOWN((167910+163326+5647+4229+2909)/F1*H1,0)</f>
        <v>345</v>
      </c>
      <c r="EQ45" t="s">
        <v>872</v>
      </c>
      <c r="ER45" t="s">
        <v>873</v>
      </c>
      <c r="ES45">
        <v>0.47499999999999998</v>
      </c>
      <c r="ET45">
        <v>0.48799999999999999</v>
      </c>
      <c r="EU45">
        <v>25</v>
      </c>
      <c r="EV45">
        <f>ROUNDDOWN((220088+165697+7738)/F1*H1,0)</f>
        <v>394</v>
      </c>
      <c r="EW45" t="s">
        <v>874</v>
      </c>
      <c r="EX45" t="s">
        <v>875</v>
      </c>
      <c r="EY45">
        <v>0.42099999999999999</v>
      </c>
      <c r="EZ45">
        <v>0.55900000000000005</v>
      </c>
      <c r="FA45">
        <v>26</v>
      </c>
      <c r="FB45">
        <f>ROUNDDOWN((261963+161009+9243)/F1*H1,0)</f>
        <v>433</v>
      </c>
      <c r="FC45" t="s">
        <v>876</v>
      </c>
      <c r="FD45" t="s">
        <v>877</v>
      </c>
      <c r="FE45">
        <v>0.373</v>
      </c>
      <c r="FF45">
        <v>0.60599999999999998</v>
      </c>
      <c r="FG45">
        <v>27</v>
      </c>
      <c r="FH45">
        <f>ROUNDDOWN((172305+95466+5482)/F1*H1,0)</f>
        <v>274</v>
      </c>
      <c r="FI45" t="s">
        <v>878</v>
      </c>
      <c r="FJ45" t="s">
        <v>879</v>
      </c>
      <c r="FK45">
        <v>0.34899999999999998</v>
      </c>
      <c r="FL45">
        <v>0.63100000000000001</v>
      </c>
      <c r="FM45">
        <v>28</v>
      </c>
      <c r="FN45">
        <f>ROUNDDOWN((137494+91925+6425)/F1*H1,0)</f>
        <v>236</v>
      </c>
      <c r="FO45" t="s">
        <v>880</v>
      </c>
      <c r="FP45" t="s">
        <v>881</v>
      </c>
      <c r="FQ45">
        <v>0.39</v>
      </c>
      <c r="FR45">
        <v>0.58299999999999996</v>
      </c>
      <c r="FS45">
        <v>29</v>
      </c>
      <c r="FT45">
        <f>ROUNDDOWN((111305+42840+2328)/F1*H1,0)</f>
        <v>156</v>
      </c>
      <c r="FU45" t="s">
        <v>882</v>
      </c>
      <c r="FV45" t="s">
        <v>883</v>
      </c>
      <c r="FW45">
        <v>0.71099999999999997</v>
      </c>
      <c r="FX45">
        <v>0.27400000000000002</v>
      </c>
      <c r="FY45">
        <v>30</v>
      </c>
      <c r="FZ45">
        <f>ROUNDDOWN((204928+48685+10851)/F1*H1,0)</f>
        <v>265</v>
      </c>
      <c r="GA45" t="s">
        <v>884</v>
      </c>
      <c r="GB45" t="s">
        <v>885</v>
      </c>
      <c r="GC45">
        <v>0.77500000000000002</v>
      </c>
      <c r="GD45">
        <v>0.184</v>
      </c>
      <c r="GE45">
        <v>31</v>
      </c>
      <c r="GF45">
        <f>ROUNDDOWN((212695+176293+8922)/F1*H1,0)</f>
        <v>399</v>
      </c>
      <c r="GG45" t="s">
        <v>886</v>
      </c>
      <c r="GH45" t="s">
        <v>887</v>
      </c>
      <c r="GI45">
        <v>0.443</v>
      </c>
      <c r="GJ45">
        <v>0.53500000000000003</v>
      </c>
      <c r="GK45">
        <v>32</v>
      </c>
      <c r="GL45">
        <f>ROUNDDOWN((178542+157867+4946+2332)/F1*H1,0)</f>
        <v>344</v>
      </c>
      <c r="GM45" t="s">
        <v>888</v>
      </c>
      <c r="GN45" t="s">
        <v>889</v>
      </c>
      <c r="GO45">
        <v>0.51900000000000002</v>
      </c>
      <c r="GP45">
        <v>0.45900000000000002</v>
      </c>
      <c r="GQ45">
        <v>33</v>
      </c>
      <c r="GR45">
        <f>ROUNDDOWN((105317+39638+8071+2586+1994)/F1*H1,0)</f>
        <v>158</v>
      </c>
      <c r="GS45" t="s">
        <v>890</v>
      </c>
      <c r="GT45" t="s">
        <v>891</v>
      </c>
      <c r="GU45">
        <v>0.66800000000000004</v>
      </c>
      <c r="GV45">
        <v>0.252</v>
      </c>
      <c r="GW45">
        <v>34</v>
      </c>
      <c r="GX45">
        <f>ROUNDDOWN((111439+84119+3222)/F1*H1,0)</f>
        <v>199</v>
      </c>
      <c r="GY45" t="s">
        <v>892</v>
      </c>
      <c r="GZ45" t="s">
        <v>893</v>
      </c>
      <c r="HA45">
        <v>0.55400000000000005</v>
      </c>
      <c r="HB45">
        <v>0.41799999999999998</v>
      </c>
      <c r="HC45">
        <v>35</v>
      </c>
      <c r="HD45">
        <f>ROUNDDOWN((176373+80795+7393+5236)/F1*H1,0)</f>
        <v>270</v>
      </c>
      <c r="HE45" t="s">
        <v>894</v>
      </c>
      <c r="HF45" t="s">
        <v>895</v>
      </c>
      <c r="HG45">
        <v>0.65400000000000003</v>
      </c>
      <c r="HH45">
        <v>0.29899999999999999</v>
      </c>
      <c r="HI45">
        <v>36</v>
      </c>
      <c r="HJ45">
        <f>ROUNDDOWN((222712+73418+4848+1571)/F1*H1,0)</f>
        <v>303</v>
      </c>
      <c r="HK45" t="s">
        <v>896</v>
      </c>
      <c r="HL45" t="s">
        <v>897</v>
      </c>
      <c r="HM45">
        <v>0.24299999999999999</v>
      </c>
      <c r="HN45">
        <v>0.73599999999999999</v>
      </c>
    </row>
    <row r="46" spans="1:222" x14ac:dyDescent="0.3">
      <c r="A46" s="3" t="s">
        <v>898</v>
      </c>
      <c r="B46" s="3" t="s">
        <v>25</v>
      </c>
      <c r="C46" s="3" t="s">
        <v>25</v>
      </c>
      <c r="D46" s="3">
        <f>ROUNDDOWN((1515845)/F1*H1,0)</f>
        <v>1520</v>
      </c>
      <c r="E46" s="3">
        <v>6</v>
      </c>
      <c r="F46" s="3">
        <v>4</v>
      </c>
      <c r="G46" s="3">
        <v>1</v>
      </c>
      <c r="H46" s="3">
        <f>ROUNDDOWN((237988+104194)/F1*H1,0)</f>
        <v>343</v>
      </c>
      <c r="I46" s="3" t="s">
        <v>899</v>
      </c>
      <c r="J46" s="3" t="s">
        <v>900</v>
      </c>
      <c r="K46" s="3">
        <v>0.30399999999999999</v>
      </c>
      <c r="L46" s="3">
        <v>0.69599999999999995</v>
      </c>
      <c r="M46" s="3">
        <v>2</v>
      </c>
      <c r="N46" s="3">
        <f>ROUNDDOWN((129762+208997+15465)/F1*H1,0)</f>
        <v>355</v>
      </c>
      <c r="O46" s="3" t="s">
        <v>901</v>
      </c>
      <c r="P46" s="3" t="s">
        <v>902</v>
      </c>
      <c r="Q46" s="3">
        <v>0.36599999999999999</v>
      </c>
      <c r="R46" s="3">
        <v>0.59</v>
      </c>
      <c r="S46" s="3">
        <v>3</v>
      </c>
      <c r="T46" s="3">
        <f>ROUNDDOWN((246674+96067+8889+7040)/F1*H1,0)</f>
        <v>359</v>
      </c>
      <c r="U46" s="3" t="s">
        <v>903</v>
      </c>
      <c r="V46" s="3" t="s">
        <v>904</v>
      </c>
      <c r="W46" s="3">
        <v>0.26800000000000002</v>
      </c>
      <c r="X46" s="3">
        <v>0.68799999999999994</v>
      </c>
      <c r="Y46" s="3">
        <v>4</v>
      </c>
      <c r="Z46" s="3">
        <f>ROUNDDOWN((179688+175923+13053+8037)/F1*H1,0)</f>
        <v>377</v>
      </c>
      <c r="AA46" s="3" t="s">
        <v>905</v>
      </c>
      <c r="AB46" s="3" t="s">
        <v>906</v>
      </c>
      <c r="AC46" s="3">
        <v>0.46700000000000003</v>
      </c>
      <c r="AD46" s="3">
        <v>0.47699999999999998</v>
      </c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</row>
    <row r="47" spans="1:222" x14ac:dyDescent="0.3">
      <c r="A47" s="3" t="s">
        <v>907</v>
      </c>
      <c r="B47" s="3" t="s">
        <v>25</v>
      </c>
      <c r="C47" s="3" t="s">
        <v>25</v>
      </c>
      <c r="D47">
        <f>ROUNDDOWN(370968/F1*H1,0)</f>
        <v>372</v>
      </c>
      <c r="E47" s="3">
        <v>3</v>
      </c>
      <c r="F47" s="3">
        <v>1</v>
      </c>
      <c r="G47" s="3">
        <v>1</v>
      </c>
      <c r="H47">
        <f>ROUNDDOWN((238827+95830+8065+4334+3432+1926+1881)/F1*H1,0)</f>
        <v>355</v>
      </c>
      <c r="I47" s="3" t="s">
        <v>908</v>
      </c>
      <c r="J47" s="3" t="s">
        <v>909</v>
      </c>
      <c r="K47" s="3">
        <v>0.67400000000000004</v>
      </c>
      <c r="L47" s="3">
        <v>0.27</v>
      </c>
    </row>
    <row r="48" spans="1:222" x14ac:dyDescent="0.3">
      <c r="A48" s="4" t="s">
        <v>910</v>
      </c>
      <c r="B48" s="3" t="s">
        <v>911</v>
      </c>
      <c r="C48" s="3" t="s">
        <v>912</v>
      </c>
      <c r="D48">
        <f>ROUNDDOWN((4523142)/F1*H1,0)</f>
        <v>4536</v>
      </c>
      <c r="E48" s="3">
        <v>13</v>
      </c>
      <c r="F48" s="3">
        <v>11</v>
      </c>
      <c r="G48" s="3">
        <v>1</v>
      </c>
      <c r="H48">
        <f>ROUNDDOWN((260614+186923)/F1*H1,0)</f>
        <v>448</v>
      </c>
      <c r="I48" s="3" t="s">
        <v>913</v>
      </c>
      <c r="J48" s="3" t="s">
        <v>914</v>
      </c>
      <c r="K48" s="3">
        <v>0.41799999999999998</v>
      </c>
      <c r="L48" s="3">
        <v>0.58199999999999996</v>
      </c>
      <c r="M48">
        <v>2</v>
      </c>
      <c r="N48">
        <f>ROUNDDOWN((185733+165031+9170)/F1*H1,0)</f>
        <v>360</v>
      </c>
      <c r="O48" t="s">
        <v>915</v>
      </c>
      <c r="P48" t="s">
        <v>916</v>
      </c>
      <c r="Q48">
        <v>0.45900000000000002</v>
      </c>
      <c r="R48">
        <v>0.51600000000000001</v>
      </c>
      <c r="S48">
        <v>3</v>
      </c>
      <c r="T48">
        <f>ROUNDDOWN((233326+107299)/F1*H1,0)</f>
        <v>341</v>
      </c>
      <c r="U48" t="s">
        <v>917</v>
      </c>
      <c r="V48" t="s">
        <v>918</v>
      </c>
      <c r="W48">
        <v>0.68500000000000005</v>
      </c>
      <c r="X48">
        <v>0.315</v>
      </c>
      <c r="Y48">
        <v>4</v>
      </c>
      <c r="Z48">
        <f>ROUNDDOWN((241142+149625)/F1*H1,0)</f>
        <v>391</v>
      </c>
      <c r="AA48" t="s">
        <v>919</v>
      </c>
      <c r="AB48" t="s">
        <v>920</v>
      </c>
      <c r="AC48">
        <v>0.61699999999999999</v>
      </c>
      <c r="AD48">
        <v>0.38300000000000001</v>
      </c>
      <c r="AE48">
        <v>5</v>
      </c>
      <c r="AF48">
        <f>ROUNDDOWN((210988+190315)/F1*H1,0)</f>
        <v>402</v>
      </c>
      <c r="AG48" t="s">
        <v>921</v>
      </c>
      <c r="AH48" t="s">
        <v>922</v>
      </c>
      <c r="AI48">
        <v>0.47399999999999998</v>
      </c>
      <c r="AJ48">
        <v>0.52600000000000002</v>
      </c>
      <c r="AK48">
        <v>6</v>
      </c>
      <c r="AL48">
        <f>ROUNDDOWN((246606+134729)/F1*H1,0)</f>
        <v>382</v>
      </c>
      <c r="AM48" t="s">
        <v>923</v>
      </c>
      <c r="AN48" t="s">
        <v>924</v>
      </c>
      <c r="AO48">
        <v>0.35299999999999998</v>
      </c>
      <c r="AP48">
        <v>0.64700000000000002</v>
      </c>
      <c r="AQ48">
        <v>7</v>
      </c>
      <c r="AR48">
        <f>ROUNDDOWN((230893+222623)/F1*H1,0)</f>
        <v>454</v>
      </c>
      <c r="AS48" t="s">
        <v>925</v>
      </c>
      <c r="AT48" t="s">
        <v>926</v>
      </c>
      <c r="AU48">
        <v>0.50900000000000001</v>
      </c>
      <c r="AV48">
        <v>0.49099999999999999</v>
      </c>
      <c r="AW48">
        <v>8</v>
      </c>
      <c r="AX48">
        <f>ROUNDDOWN((301454+95365)/F1*H1,0)</f>
        <v>397</v>
      </c>
      <c r="AY48" t="s">
        <v>927</v>
      </c>
      <c r="AZ48" t="s">
        <v>928</v>
      </c>
      <c r="BA48">
        <v>0.76</v>
      </c>
      <c r="BB48">
        <v>0.24</v>
      </c>
      <c r="BC48">
        <v>9</v>
      </c>
      <c r="BD48">
        <f>ROUNDDOWN((271851+17423)/F1*H1,0)</f>
        <v>290</v>
      </c>
      <c r="BE48" t="s">
        <v>25</v>
      </c>
      <c r="BF48" t="s">
        <v>929</v>
      </c>
      <c r="BG48">
        <v>0</v>
      </c>
      <c r="BH48">
        <v>0.94</v>
      </c>
      <c r="BI48">
        <v>10</v>
      </c>
      <c r="BJ48">
        <f>ROUNDDOWN((268734+206253)/F1*H1,0)</f>
        <v>476</v>
      </c>
      <c r="BK48" t="s">
        <v>930</v>
      </c>
      <c r="BL48" t="s">
        <v>931</v>
      </c>
      <c r="BM48">
        <v>0.56599999999999995</v>
      </c>
      <c r="BN48">
        <v>0.434</v>
      </c>
      <c r="BO48">
        <v>11</v>
      </c>
      <c r="BP48">
        <f>ROUNDDOWN((280725+111380)/F1*H1,0)</f>
        <v>393</v>
      </c>
      <c r="BQ48" t="s">
        <v>932</v>
      </c>
      <c r="BR48" t="s">
        <v>933</v>
      </c>
      <c r="BS48">
        <v>0.71599999999999997</v>
      </c>
      <c r="BT48">
        <v>0.28399999999999997</v>
      </c>
    </row>
    <row r="49" spans="1:66" x14ac:dyDescent="0.3">
      <c r="A49" s="4" t="s">
        <v>934</v>
      </c>
      <c r="B49" t="s">
        <v>25</v>
      </c>
      <c r="C49" t="s">
        <v>25</v>
      </c>
      <c r="D49">
        <f>ROUNDDOWN(4116894/F1*H1,0)</f>
        <v>4128</v>
      </c>
      <c r="E49">
        <v>12</v>
      </c>
      <c r="F49">
        <v>10</v>
      </c>
      <c r="G49">
        <v>1</v>
      </c>
      <c r="H49">
        <f>ROUNDDOWN((294944+176407)/F1*H1,0)</f>
        <v>472</v>
      </c>
      <c r="I49" t="s">
        <v>935</v>
      </c>
      <c r="J49" t="s">
        <v>936</v>
      </c>
      <c r="K49">
        <v>0.58599999999999997</v>
      </c>
      <c r="L49">
        <v>0.41399999999999998</v>
      </c>
      <c r="M49">
        <v>2</v>
      </c>
      <c r="N49">
        <f>ROUNDDOWN((255252+148384)/F1*H1,0)</f>
        <v>404</v>
      </c>
      <c r="O49" t="s">
        <v>937</v>
      </c>
      <c r="P49" t="s">
        <v>938</v>
      </c>
      <c r="Q49">
        <v>0.63200000000000001</v>
      </c>
      <c r="R49">
        <v>0.36799999999999999</v>
      </c>
      <c r="S49">
        <v>3</v>
      </c>
      <c r="T49">
        <f>ROUNDDOWN((235579+181347)/F1*H1,0)</f>
        <v>418</v>
      </c>
      <c r="U49" t="s">
        <v>939</v>
      </c>
      <c r="V49" t="s">
        <v>940</v>
      </c>
      <c r="W49">
        <v>0.435</v>
      </c>
      <c r="X49">
        <v>0.56499999999999995</v>
      </c>
      <c r="Y49">
        <v>4</v>
      </c>
      <c r="Z49">
        <f>ROUNDDOWN((202108+102667)/F1*H1,0)</f>
        <v>305</v>
      </c>
      <c r="AA49" t="s">
        <v>941</v>
      </c>
      <c r="AB49" t="s">
        <v>942</v>
      </c>
      <c r="AC49">
        <v>0.33700000000000002</v>
      </c>
      <c r="AD49">
        <v>0.66300000000000003</v>
      </c>
      <c r="AE49">
        <v>5</v>
      </c>
      <c r="AF49">
        <f>ROUNDDOWN((247815+155737)/F1*H1,0)</f>
        <v>404</v>
      </c>
      <c r="AG49" t="s">
        <v>943</v>
      </c>
      <c r="AH49" t="s">
        <v>944</v>
      </c>
      <c r="AI49">
        <v>0.38600000000000001</v>
      </c>
      <c r="AJ49">
        <v>0.61399999999999999</v>
      </c>
      <c r="AK49">
        <v>6</v>
      </c>
      <c r="AL49">
        <f>ROUNDDOWN((247429+168783)/F1*H1,0)</f>
        <v>417</v>
      </c>
      <c r="AM49" t="s">
        <v>945</v>
      </c>
      <c r="AN49" t="s">
        <v>946</v>
      </c>
      <c r="AO49">
        <v>0.59399999999999997</v>
      </c>
      <c r="AP49">
        <v>0.40600000000000003</v>
      </c>
      <c r="AQ49">
        <v>7</v>
      </c>
      <c r="AR49">
        <f>ROUNDDOWN((387109+78240)/F1*H1,0)</f>
        <v>466</v>
      </c>
      <c r="AS49" t="s">
        <v>947</v>
      </c>
      <c r="AT49" t="s">
        <v>948</v>
      </c>
      <c r="AU49">
        <v>0.83199999999999996</v>
      </c>
      <c r="AV49">
        <v>0.16800000000000001</v>
      </c>
      <c r="AW49">
        <v>8</v>
      </c>
      <c r="AX49">
        <f>ROUNDDOWN((213123+198423)/F1*H1,0)</f>
        <v>412</v>
      </c>
      <c r="AY49" t="s">
        <v>949</v>
      </c>
      <c r="AZ49" t="s">
        <v>950</v>
      </c>
      <c r="BA49">
        <v>0.51800000000000002</v>
      </c>
      <c r="BB49">
        <v>0.48199999999999998</v>
      </c>
      <c r="BC49">
        <v>9</v>
      </c>
      <c r="BD49">
        <f>ROUNDDOWN((258771+89697)/F1*H1,0)</f>
        <v>349</v>
      </c>
      <c r="BE49" t="s">
        <v>951</v>
      </c>
      <c r="BF49" t="s">
        <v>952</v>
      </c>
      <c r="BG49">
        <v>0.74299999999999999</v>
      </c>
      <c r="BH49">
        <v>0.25700000000000001</v>
      </c>
      <c r="BI49">
        <v>10</v>
      </c>
      <c r="BJ49">
        <f>ROUNDDOWN((167937+121040)/F1*H1,0)</f>
        <v>289</v>
      </c>
      <c r="BK49" t="s">
        <v>953</v>
      </c>
      <c r="BL49" t="s">
        <v>954</v>
      </c>
      <c r="BM49">
        <v>0.58099999999999996</v>
      </c>
      <c r="BN49">
        <v>0.41899999999999998</v>
      </c>
    </row>
    <row r="50" spans="1:66" x14ac:dyDescent="0.3">
      <c r="A50" s="3" t="s">
        <v>955</v>
      </c>
      <c r="B50" t="s">
        <v>956</v>
      </c>
      <c r="C50" t="s">
        <v>957</v>
      </c>
      <c r="D50">
        <f>ROUNDDOWN(802726/F1*H1,0)</f>
        <v>805</v>
      </c>
      <c r="E50">
        <v>5</v>
      </c>
      <c r="F50">
        <v>3</v>
      </c>
      <c r="G50">
        <v>1</v>
      </c>
      <c r="H50">
        <f>ROUNDDOWN((180488+81177)/F1*H1,0)</f>
        <v>262</v>
      </c>
      <c r="I50" t="s">
        <v>958</v>
      </c>
      <c r="J50" t="s">
        <v>959</v>
      </c>
      <c r="K50">
        <v>0.31</v>
      </c>
      <c r="L50">
        <v>0.69</v>
      </c>
      <c r="M50">
        <v>2</v>
      </c>
      <c r="N50">
        <f>ROUNDDOWN((172195+100799)/F1*H1,0)</f>
        <v>273</v>
      </c>
      <c r="O50" t="s">
        <v>960</v>
      </c>
      <c r="P50" t="s">
        <v>961</v>
      </c>
      <c r="Q50">
        <v>0.36899999999999999</v>
      </c>
      <c r="R50">
        <v>0.63100000000000001</v>
      </c>
      <c r="S50">
        <v>3</v>
      </c>
      <c r="T50">
        <f>ROUNDDOWN((161585+64927)/F1*H1,0)</f>
        <v>227</v>
      </c>
      <c r="U50" t="s">
        <v>962</v>
      </c>
      <c r="V50" t="s">
        <v>963</v>
      </c>
      <c r="W50">
        <v>0.28699999999999998</v>
      </c>
      <c r="X50">
        <v>0.71299999999999997</v>
      </c>
    </row>
    <row r="51" spans="1:66" x14ac:dyDescent="0.3">
      <c r="A51" s="4" t="s">
        <v>964</v>
      </c>
      <c r="B51" t="s">
        <v>25</v>
      </c>
      <c r="C51" t="s">
        <v>25</v>
      </c>
      <c r="D51">
        <f>ROUNDDOWN(3310000/F1*H1,0)</f>
        <v>3319</v>
      </c>
      <c r="E51">
        <v>10</v>
      </c>
      <c r="F51">
        <v>8</v>
      </c>
      <c r="G51">
        <v>1</v>
      </c>
      <c r="H51">
        <f>ROUNDDOWN((238271+163170)/F1*H1,0)</f>
        <v>402</v>
      </c>
      <c r="I51" t="s">
        <v>965</v>
      </c>
      <c r="J51" t="s">
        <v>966</v>
      </c>
      <c r="K51">
        <v>0.40600000000000003</v>
      </c>
      <c r="L51">
        <v>0.59399999999999997</v>
      </c>
      <c r="M51">
        <v>2</v>
      </c>
      <c r="N51">
        <f>ROUNDDOWN((318523+138306)/F1*H1,0)</f>
        <v>458</v>
      </c>
      <c r="O51" t="s">
        <v>967</v>
      </c>
      <c r="P51" t="s">
        <v>968</v>
      </c>
      <c r="Q51">
        <v>0.69699999999999995</v>
      </c>
      <c r="R51">
        <v>0.30299999999999999</v>
      </c>
      <c r="S51">
        <v>3</v>
      </c>
      <c r="T51">
        <f>ROUNDDOWN((199870+189524)/F1*H1,0)</f>
        <v>390</v>
      </c>
      <c r="U51" t="s">
        <v>969</v>
      </c>
      <c r="V51" t="s">
        <v>970</v>
      </c>
      <c r="W51">
        <v>0.51300000000000001</v>
      </c>
      <c r="X51">
        <v>0.48699999999999999</v>
      </c>
      <c r="Y51">
        <v>4</v>
      </c>
      <c r="Z51">
        <f>ROUNDDOWN((232668+70769+7911)/F1*H1,0)</f>
        <v>312</v>
      </c>
      <c r="AA51" t="s">
        <v>971</v>
      </c>
      <c r="AB51" t="s">
        <v>972</v>
      </c>
      <c r="AC51">
        <v>0.747</v>
      </c>
      <c r="AD51">
        <v>0.22700000000000001</v>
      </c>
      <c r="AE51">
        <v>5</v>
      </c>
      <c r="AF51">
        <f>ROUNDDOWN((265434+175902)/F1*H1,0)</f>
        <v>442</v>
      </c>
      <c r="AG51" t="s">
        <v>973</v>
      </c>
      <c r="AH51" t="s">
        <v>974</v>
      </c>
      <c r="AI51">
        <v>0.39900000000000002</v>
      </c>
      <c r="AJ51">
        <v>0.60099999999999998</v>
      </c>
      <c r="AK51">
        <v>6</v>
      </c>
      <c r="AL51">
        <f>ROUNDDOWN((238874+164239)/F1*H1,0)</f>
        <v>404</v>
      </c>
      <c r="AM51" t="s">
        <v>975</v>
      </c>
      <c r="AN51" t="s">
        <v>976</v>
      </c>
      <c r="AO51">
        <v>0.40699999999999997</v>
      </c>
      <c r="AP51">
        <v>0.59299999999999997</v>
      </c>
      <c r="AQ51">
        <v>7</v>
      </c>
      <c r="AR51">
        <f>ROUNDDOWN((252048+162741)/F1*H1,0)</f>
        <v>415</v>
      </c>
      <c r="AS51" t="s">
        <v>977</v>
      </c>
      <c r="AT51" t="s">
        <v>978</v>
      </c>
      <c r="AU51">
        <v>0.39200000000000002</v>
      </c>
      <c r="AV51">
        <v>0.60799999999999998</v>
      </c>
      <c r="AW51">
        <v>8</v>
      </c>
      <c r="AX51">
        <f>ROUNDDOWN((268173+149558)/F1*H1,0)</f>
        <v>418</v>
      </c>
      <c r="AY51" t="s">
        <v>979</v>
      </c>
      <c r="AZ51" t="s">
        <v>980</v>
      </c>
      <c r="BA51">
        <v>0.35799999999999998</v>
      </c>
      <c r="BB51">
        <v>0.64200000000000002</v>
      </c>
    </row>
    <row r="52" spans="1:66" x14ac:dyDescent="0.3">
      <c r="A52" s="3" t="s">
        <v>981</v>
      </c>
      <c r="B52" t="s">
        <v>982</v>
      </c>
      <c r="C52" t="s">
        <v>983</v>
      </c>
      <c r="D52">
        <f>ROUNDDOWN(278503/F1*H1,0)</f>
        <v>279</v>
      </c>
      <c r="E52">
        <v>3</v>
      </c>
      <c r="F52">
        <v>1</v>
      </c>
      <c r="G52">
        <v>1</v>
      </c>
      <c r="H52">
        <f>ROUNDDOWN((185732+66576+10154+7905)/F1*H1,0)</f>
        <v>271</v>
      </c>
      <c r="I52" t="s">
        <v>984</v>
      </c>
      <c r="J52" t="s">
        <v>985</v>
      </c>
      <c r="K52">
        <v>0.246</v>
      </c>
      <c r="L52">
        <v>0.68700000000000006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Marcus</dc:creator>
  <cp:keywords/>
  <dc:description/>
  <cp:lastModifiedBy>Mark itkin</cp:lastModifiedBy>
  <cp:revision/>
  <dcterms:created xsi:type="dcterms:W3CDTF">2020-11-28T01:54:52Z</dcterms:created>
  <dcterms:modified xsi:type="dcterms:W3CDTF">2020-12-08T00:23:32Z</dcterms:modified>
  <cp:category/>
  <cp:contentStatus/>
</cp:coreProperties>
</file>